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heet1" sheetId="1" r:id="rId1"/>
    <sheet name="Balance Sheet Final" sheetId="2" r:id="rId2"/>
    <sheet name="Income &amp; Expenditure Final" sheetId="3" r:id="rId3"/>
    <sheet name="Annexure" sheetId="4" r:id="rId4"/>
    <sheet name="FINAL FIXED ASSETS" sheetId="5" r:id="rId5"/>
    <sheet name="RUF WORK FOR BS" sheetId="6" r:id="rId6"/>
    <sheet name="RUF WORK FOR P &amp; L" sheetId="7" r:id="rId7"/>
    <sheet name="Balance Sheet 1ST" sheetId="8" r:id="rId8"/>
    <sheet name="Income &amp; Expenditure 1ST" sheetId="9" r:id="rId9"/>
    <sheet name="RUF WORK FOR TRADING" sheetId="10" r:id="rId10"/>
    <sheet name="DUMY" sheetId="11" r:id="rId11"/>
    <sheet name="RUF WORK FOR ALL" sheetId="12" r:id="rId12"/>
    <sheet name="RUF WORK FIXED ASSET" sheetId="13" r:id="rId13"/>
    <sheet name="RUF WORK FIXED ASSETS" sheetId="14" r:id="rId14"/>
    <sheet name="Sheet2" sheetId="15" r:id="rId15"/>
    <sheet name="Sheet3" sheetId="16" r:id="rId16"/>
  </sheets>
  <definedNames>
    <definedName name="_xlnm.Print_Area" localSheetId="3">'Annexure'!$A$1:$E$438</definedName>
    <definedName name="_xlnm.Print_Area" localSheetId="1">'Balance Sheet Final'!$A$1:$I$49</definedName>
    <definedName name="_xlnm.Print_Area" localSheetId="4">'FINAL FIXED ASSETS'!$A$1:$K$86</definedName>
    <definedName name="_xlnm.Print_Area" localSheetId="12">'RUF WORK FIXED ASSET'!$A$1:$K$200</definedName>
    <definedName name="_xlnm.Print_Area" localSheetId="13">'RUF WORK FIXED ASSETS'!$A$1:$K$267</definedName>
    <definedName name="_xlnm.Print_Area" localSheetId="5">'RUF WORK FOR BS'!$A$1:$G$371</definedName>
    <definedName name="_xlnm.Print_Area" localSheetId="6">'RUF WORK FOR P &amp; L'!$A$1:$H$343</definedName>
    <definedName name="_xlnm.Print_Area" localSheetId="9">'RUF WORK FOR TRADING'!$A$1:$F$49</definedName>
    <definedName name="_xlnm.Print_Area" localSheetId="0">'Sheet1'!$A$1:$J$35</definedName>
    <definedName name="_xlnm.Print_Area" localSheetId="15">'Sheet3'!$A$1:$K$97</definedName>
    <definedName name="_xlnm.Print_Titles" localSheetId="3">'Annexure'!$1:$5</definedName>
    <definedName name="_xlnm.Print_Titles" localSheetId="4">'FINAL FIXED ASSETS'!$1:$11</definedName>
    <definedName name="_xlnm.Print_Titles" localSheetId="12">'RUF WORK FIXED ASSET'!$1:$11</definedName>
    <definedName name="_xlnm.Print_Titles" localSheetId="15">'Sheet3'!$1:$11</definedName>
  </definedNames>
  <calcPr fullCalcOnLoad="1"/>
</workbook>
</file>

<file path=xl/comments12.xml><?xml version="1.0" encoding="utf-8"?>
<comments xmlns="http://schemas.openxmlformats.org/spreadsheetml/2006/main">
  <authors>
    <author>Administrator</author>
  </authors>
  <commentList>
    <comment ref="D65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Absent Fine + DVD + Lab. Fine + Late Fine + Liabrary Fine + Other Charges Received + Photo Folder + Red Cross + Student Badges + Young Learner Exam. </t>
        </r>
      </text>
    </comment>
    <comment ref="D66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Tour &amp; Picnic + Bank Charges + Examination Fee + French &amp; German Fee + ICG Alumnac Association + Lab Fine + Late Fine + Library Fine + Notice Pay + Other Charges Received</t>
        </r>
      </text>
    </comment>
    <comment ref="D67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Alumnie Association + Club Activity + Corporate Seminar + Franch Books + Franch Course &amp; Registration + Industrial Tour + Late Fine + Library Fine + Other Charges Received + Seminar on HR + Swimming Pool Form Fees 
( (56837/- + 58500/- + 28050/- + 8120/- + 140560/- + 218093/- + 500/- + 14408/- + 1501/- + 600/- + 5170/- )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2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Payable Merge in Provision for Expenses
</t>
        </r>
      </text>
    </comment>
    <comment ref="C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Other Liabilities + Time Bard Cheques + UGC A/c + RCCI Agro Project
(69597+116283+1200000+51945)
</t>
        </r>
      </text>
    </comment>
    <comment ref="H2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Loans &amp; Advances + Receivable + TDS Recoverable
(1516304+4051125+219326)
</t>
        </r>
      </text>
    </comment>
    <comment ref="D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Other Liabilities + Time Bard Cheques + UGC A/c + RCCI Agro Project
(69597+116283+1200000+51945)
</t>
        </r>
      </text>
    </comment>
    <comment ref="D2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Payable Merge in Provision for Expenses
</t>
        </r>
      </text>
    </comment>
    <comment ref="I2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Loans &amp; Advances + Receivable + TDS Recoverable
(1516304+4051125+219326)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F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Books &amp; Uniform  Receipts+ Closing Stock + Sale of Winter Uniform - Opening Balance -Purchase
</t>
        </r>
      </text>
    </comment>
    <comment ref="A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Staff Expenses</t>
        </r>
      </text>
    </comment>
    <comment ref="A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Administration Expenses + Donation</t>
        </r>
      </text>
    </comment>
  </commentList>
</comments>
</file>

<file path=xl/sharedStrings.xml><?xml version="1.0" encoding="utf-8"?>
<sst xmlns="http://schemas.openxmlformats.org/spreadsheetml/2006/main" count="5339" uniqueCount="880">
  <si>
    <t>Annexed to and Forming Part of the Balance Sheet As at 31st March, 2005</t>
  </si>
  <si>
    <t>Annexure "A" Capital Fund</t>
  </si>
  <si>
    <t>Particular</t>
  </si>
  <si>
    <t>Amount</t>
  </si>
  <si>
    <t>2004-05</t>
  </si>
  <si>
    <t>2003-04</t>
  </si>
  <si>
    <t>Opening Balance</t>
  </si>
  <si>
    <t>Add : Excess of Income over expenses</t>
  </si>
  <si>
    <t>TOTAL</t>
  </si>
  <si>
    <t>Rajasthan Body Builder Security</t>
  </si>
  <si>
    <t>Staff Fund</t>
  </si>
  <si>
    <t>Staff Security</t>
  </si>
  <si>
    <t>IIS (Play House)</t>
  </si>
  <si>
    <t>Electricity Charges Payable</t>
  </si>
  <si>
    <t>Honorarium Payable</t>
  </si>
  <si>
    <t>P. F. Expenses Payable</t>
  </si>
  <si>
    <t>P. F. Payable</t>
  </si>
  <si>
    <t>Salary Payable</t>
  </si>
  <si>
    <t>TDS Payable</t>
  </si>
  <si>
    <t>Telephone Charges Payable</t>
  </si>
  <si>
    <t>Telephone Expenses Payable</t>
  </si>
  <si>
    <t>Watch &amp; Ward Payable</t>
  </si>
  <si>
    <t>Admission Fees</t>
  </si>
  <si>
    <t>Computer Fees</t>
  </si>
  <si>
    <t>Practical Fees</t>
  </si>
  <si>
    <t>Tuition Fees</t>
  </si>
  <si>
    <t>S. Gupta</t>
  </si>
  <si>
    <t>Department of Science &amp; Technology</t>
  </si>
  <si>
    <t>Enviour Easy Contest</t>
  </si>
  <si>
    <t>Informatic Olympiad</t>
  </si>
  <si>
    <t>Maths Olympiad</t>
  </si>
  <si>
    <t xml:space="preserve">Old Student Association </t>
  </si>
  <si>
    <t>Physics Olympiad</t>
  </si>
  <si>
    <t>Rotract Club</t>
  </si>
  <si>
    <t>Science Olympiad</t>
  </si>
  <si>
    <t>Tiger Club</t>
  </si>
  <si>
    <t>Hostel</t>
  </si>
  <si>
    <t>Cr</t>
  </si>
  <si>
    <t>ICFIA</t>
  </si>
  <si>
    <t>ICG</t>
  </si>
  <si>
    <t>Dr</t>
  </si>
  <si>
    <t>IIIM</t>
  </si>
  <si>
    <t>Electricity With RSEB</t>
  </si>
  <si>
    <t>Gas With IOC</t>
  </si>
  <si>
    <t>Telephone With P&amp;T Department</t>
  </si>
  <si>
    <t>Water With PHED</t>
  </si>
  <si>
    <t>Cheque Return</t>
  </si>
  <si>
    <t xml:space="preserve">Interest Receivable on FDR </t>
  </si>
  <si>
    <t>Cash in Hand</t>
  </si>
  <si>
    <t>FDR</t>
  </si>
  <si>
    <t>BOR-10116</t>
  </si>
  <si>
    <t>BOR-5583 A/C</t>
  </si>
  <si>
    <t>ICICI  Bank A/C 11127</t>
  </si>
  <si>
    <t>ICICI Bank A/C 20975</t>
  </si>
  <si>
    <t>ICICI Bank A/C 19413</t>
  </si>
  <si>
    <t>ICICI Bank A/C 53422</t>
  </si>
  <si>
    <t>PNB A/C NO.1</t>
  </si>
  <si>
    <t>SBI-01000/061692  A/C</t>
  </si>
  <si>
    <t>Prepaid Insurance</t>
  </si>
  <si>
    <t>Prepaid Postage</t>
  </si>
  <si>
    <t>Prepaid Subscription</t>
  </si>
  <si>
    <t>Prepaid Website</t>
  </si>
  <si>
    <t>Avdhesh Sharma</t>
  </si>
  <si>
    <t>Dr.Ashok Gupta</t>
  </si>
  <si>
    <t xml:space="preserve">Jitendra Jain </t>
  </si>
  <si>
    <t>Manjari Sharma Expenses</t>
  </si>
  <si>
    <t>Manoj Saxena</t>
  </si>
  <si>
    <t>Mohan Lal</t>
  </si>
  <si>
    <t>The Oriental Insurance Co. Ltd.</t>
  </si>
  <si>
    <t>Uga Ram</t>
  </si>
  <si>
    <t>D. G. Set Running Expenses</t>
  </si>
  <si>
    <t xml:space="preserve">Internet Charges </t>
  </si>
  <si>
    <t>Lease Line Expenses</t>
  </si>
  <si>
    <t>Salary</t>
  </si>
  <si>
    <t>ICFIA (MAIN)</t>
  </si>
  <si>
    <t>(Under Indian Council for International Amity)</t>
  </si>
  <si>
    <t>Gurukul Marg, SFS, Mansarovar, Jaipur - 302 020</t>
  </si>
  <si>
    <t>IIS</t>
  </si>
  <si>
    <t xml:space="preserve">IIS  </t>
  </si>
  <si>
    <t>Bajrang Lal</t>
  </si>
  <si>
    <t>Kailash Chandra</t>
  </si>
  <si>
    <t>K. L. Srimal</t>
  </si>
  <si>
    <t>L. N. Sharma</t>
  </si>
  <si>
    <t>Mohan Lal (Loan)</t>
  </si>
  <si>
    <t>Nand Kishore Rathi</t>
  </si>
  <si>
    <t>Radhey Sharma</t>
  </si>
  <si>
    <t>Ram Gopal Gupta</t>
  </si>
  <si>
    <t xml:space="preserve">Ram Lal </t>
  </si>
  <si>
    <t>Shaym Sunder</t>
  </si>
  <si>
    <t>Provision for Audit Fees</t>
  </si>
  <si>
    <t>Provision for Maintenance Charges</t>
  </si>
  <si>
    <t>Light &amp; Water Expenses Payable</t>
  </si>
  <si>
    <t>LIC Payable</t>
  </si>
  <si>
    <t>Newspaper &amp; Magazines</t>
  </si>
  <si>
    <t>Security Deposits</t>
  </si>
  <si>
    <t>Telephone Security</t>
  </si>
  <si>
    <t>Annexed to and forming part of the Balance Sheet as at 31st March, 2005</t>
  </si>
  <si>
    <t>Add : Excess of Income Over Expenditure</t>
  </si>
  <si>
    <t>P. L. Motors</t>
  </si>
  <si>
    <t>Advertisement &amp; Publicity</t>
  </si>
  <si>
    <t>Consultancy Charges</t>
  </si>
  <si>
    <t xml:space="preserve">Legal &amp; Registration </t>
  </si>
  <si>
    <t>Printing &amp; Stationery</t>
  </si>
  <si>
    <t xml:space="preserve">Rent </t>
  </si>
  <si>
    <t>Telephone Expenses</t>
  </si>
  <si>
    <t>Repair &amp; Maintenance</t>
  </si>
  <si>
    <t>Interest</t>
  </si>
  <si>
    <t xml:space="preserve">Misc. Income </t>
  </si>
  <si>
    <t>Liabilities</t>
  </si>
  <si>
    <t>Capital Fund</t>
  </si>
  <si>
    <t>Secured Loans</t>
  </si>
  <si>
    <t>Unsecured Loans</t>
  </si>
  <si>
    <t>Security Refundable</t>
  </si>
  <si>
    <t>Payable</t>
  </si>
  <si>
    <t>Advance Fees</t>
  </si>
  <si>
    <t>Sundry Creditors</t>
  </si>
  <si>
    <t>Other Liabilities</t>
  </si>
  <si>
    <t>Fixed Assets</t>
  </si>
  <si>
    <t>Security Deposited</t>
  </si>
  <si>
    <t>Recievables</t>
  </si>
  <si>
    <t>Loans &amp; Advances</t>
  </si>
  <si>
    <t>Closing Stock</t>
  </si>
  <si>
    <t>Cash &amp; Bank Balance</t>
  </si>
  <si>
    <t>Prepaid Expenses</t>
  </si>
  <si>
    <t>Investments</t>
  </si>
  <si>
    <t>TDS Recoverable</t>
  </si>
  <si>
    <t>Notes on Accounts</t>
  </si>
  <si>
    <t>Assets</t>
  </si>
  <si>
    <t xml:space="preserve">TOTAL     </t>
  </si>
  <si>
    <t>IIS CAMPUS, GURUKUL MARG, SFS, MANSAROVER, JAIPUR</t>
  </si>
  <si>
    <t>A</t>
  </si>
  <si>
    <t>B</t>
  </si>
  <si>
    <t>C</t>
  </si>
  <si>
    <t>D</t>
  </si>
  <si>
    <t>K</t>
  </si>
  <si>
    <t>Income &amp; Expenditure Account as on 31st March, 2005</t>
  </si>
  <si>
    <t>Balance Sheet as on 31st March, 2005</t>
  </si>
  <si>
    <t xml:space="preserve">Expenditure </t>
  </si>
  <si>
    <t>Income</t>
  </si>
  <si>
    <t>Opening Stock</t>
  </si>
  <si>
    <t>Purchases</t>
  </si>
  <si>
    <t>Administrative Expenses</t>
  </si>
  <si>
    <t>Repairs &amp; Maintenance Exp.</t>
  </si>
  <si>
    <t>Educational Expenses</t>
  </si>
  <si>
    <t>Donation</t>
  </si>
  <si>
    <t>Staff Expenses</t>
  </si>
  <si>
    <t>Depreciation</t>
  </si>
  <si>
    <t xml:space="preserve">Excuss of Income over </t>
  </si>
  <si>
    <t>Expenditure</t>
  </si>
  <si>
    <t>E</t>
  </si>
  <si>
    <t>F</t>
  </si>
  <si>
    <t>G</t>
  </si>
  <si>
    <t>Financial Expenses</t>
  </si>
  <si>
    <t>H</t>
  </si>
  <si>
    <t>Book Shop Receipts</t>
  </si>
  <si>
    <t>Fees &amp; Other Receipts</t>
  </si>
  <si>
    <t>Sale of Winter Uniform</t>
  </si>
  <si>
    <t>Rent</t>
  </si>
  <si>
    <t>J</t>
  </si>
  <si>
    <t>Annexure "B" Secured Loans</t>
  </si>
  <si>
    <t>ICICI Vehicle Loan</t>
  </si>
  <si>
    <t>Audit Fees</t>
  </si>
  <si>
    <t>Electricity Bill Charges</t>
  </si>
  <si>
    <t xml:space="preserve">Function &amp; Event </t>
  </si>
  <si>
    <t>Legal &amp; Proffessional Charges</t>
  </si>
  <si>
    <t>Membership</t>
  </si>
  <si>
    <t xml:space="preserve">Insurance </t>
  </si>
  <si>
    <t>Books &amp; Periodicals</t>
  </si>
  <si>
    <t>Postage</t>
  </si>
  <si>
    <t>Vehicle Expenses</t>
  </si>
  <si>
    <t>Watch &amp; Ward Expenses</t>
  </si>
  <si>
    <t>Website Expenses</t>
  </si>
  <si>
    <t>Garden Expenses</t>
  </si>
  <si>
    <t>Other Expenses</t>
  </si>
  <si>
    <t>Licence Fees (Wireless)</t>
  </si>
  <si>
    <t>School Running Expenses</t>
  </si>
  <si>
    <t>Travelling &amp; Conveyance</t>
  </si>
  <si>
    <t>Subscription</t>
  </si>
  <si>
    <t>Interest on Term Loan</t>
  </si>
  <si>
    <t>AMC</t>
  </si>
  <si>
    <t>Educational Development</t>
  </si>
  <si>
    <t>Examination Expenses</t>
  </si>
  <si>
    <t>Games &amp; Sports</t>
  </si>
  <si>
    <t>Gift &amp; Prizes</t>
  </si>
  <si>
    <t>Laboratory Expenses</t>
  </si>
  <si>
    <t>NSS Conference</t>
  </si>
  <si>
    <t>Tour &amp; Picnic</t>
  </si>
  <si>
    <t>Swimming Pool Expenses</t>
  </si>
  <si>
    <t>Art &amp; Craft</t>
  </si>
  <si>
    <t>CBSE</t>
  </si>
  <si>
    <t>Library Expenses</t>
  </si>
  <si>
    <t>Cambridge Course</t>
  </si>
  <si>
    <t>Salary &amp; Allowances</t>
  </si>
  <si>
    <t>Staff &amp; Welfare</t>
  </si>
  <si>
    <t>P. F. Contribution &amp; Expenses</t>
  </si>
  <si>
    <t>Staff Uniform</t>
  </si>
  <si>
    <t>Gratuity</t>
  </si>
  <si>
    <t>Medical Expenses</t>
  </si>
  <si>
    <t>Term Fees</t>
  </si>
  <si>
    <t>Hostel Fees</t>
  </si>
  <si>
    <t>Conveyance Fees</t>
  </si>
  <si>
    <t>Other Receipts</t>
  </si>
  <si>
    <t>Swimming Fees</t>
  </si>
  <si>
    <t>2003 - 04</t>
  </si>
  <si>
    <t>2004 - 05</t>
  </si>
  <si>
    <t>I</t>
  </si>
  <si>
    <t>City Bank A/c 5004270144</t>
  </si>
  <si>
    <t>ICICI Bank A/c 19416</t>
  </si>
  <si>
    <t>PNB 806</t>
  </si>
  <si>
    <t>Bank Charges</t>
  </si>
  <si>
    <t>Conveyence Expenses</t>
  </si>
  <si>
    <t>Light &amp; Water (Charges)</t>
  </si>
  <si>
    <t>Office Expenses</t>
  </si>
  <si>
    <t>Vehicle Running Expenses</t>
  </si>
  <si>
    <t>Maintenance Charges</t>
  </si>
  <si>
    <t>Vehicle Repair</t>
  </si>
  <si>
    <t>Rent Received</t>
  </si>
  <si>
    <t>B/Shop</t>
  </si>
  <si>
    <t>Add : Excess of Income over expenses (Loss)</t>
  </si>
  <si>
    <t>Convent Publication</t>
  </si>
  <si>
    <t>M. S. Traders</t>
  </si>
  <si>
    <t>S. V. Book Company</t>
  </si>
  <si>
    <t>Unique Book Associates</t>
  </si>
  <si>
    <t>IIS (Local Fund)</t>
  </si>
  <si>
    <t>IIS (Book Shop)</t>
  </si>
  <si>
    <t>IIS (Transportation)</t>
  </si>
  <si>
    <t>Books &amp; Uniform Stock</t>
  </si>
  <si>
    <t>Prepaid AMC</t>
  </si>
  <si>
    <t>Book Shop Running Expenses</t>
  </si>
  <si>
    <t xml:space="preserve">Freight &amp; Cartage Expenses </t>
  </si>
  <si>
    <t>Advertisement &amp; Publication</t>
  </si>
  <si>
    <t xml:space="preserve">Conveyance Expenses </t>
  </si>
  <si>
    <t xml:space="preserve">Electricity Bill Charges </t>
  </si>
  <si>
    <t>Function &amp; Events Expenses</t>
  </si>
  <si>
    <t>Insurance Expenses</t>
  </si>
  <si>
    <t xml:space="preserve">Legal &amp; Registration Charges </t>
  </si>
  <si>
    <t xml:space="preserve">Loss on Sale of Time Attendance Machine </t>
  </si>
  <si>
    <t xml:space="preserve">Membership Fees </t>
  </si>
  <si>
    <t>Postage Expenses</t>
  </si>
  <si>
    <t>Printing &amp; Stationary</t>
  </si>
  <si>
    <t>Subscription &amp; Club Membership Fee</t>
  </si>
  <si>
    <t xml:space="preserve">Website </t>
  </si>
  <si>
    <t xml:space="preserve">Wireless Licence Fees </t>
  </si>
  <si>
    <t>LIC Allowance</t>
  </si>
  <si>
    <t>P. F. Employers Contribution</t>
  </si>
  <si>
    <t>P. F. Expenses</t>
  </si>
  <si>
    <t>Salaries &amp; Allowances</t>
  </si>
  <si>
    <t>Winter Uniform</t>
  </si>
  <si>
    <t>L/F</t>
  </si>
  <si>
    <t>Advance Devlopment Fund</t>
  </si>
  <si>
    <t>Advance Local Fund</t>
  </si>
  <si>
    <t>ICICI Bank A/c 19417</t>
  </si>
  <si>
    <t>Watch &amp; Ward</t>
  </si>
  <si>
    <t>Repair &amp; Maintenance (General)</t>
  </si>
  <si>
    <t>Repair &amp; Maintenance (Building)</t>
  </si>
  <si>
    <t>Repair &amp; Maintenance (Computer)</t>
  </si>
  <si>
    <t>Repair &amp; Maintenance (Electric)</t>
  </si>
  <si>
    <t>Repair &amp; Maintenance (Furniture)</t>
  </si>
  <si>
    <t>Repair &amp; Maintenance (Music)</t>
  </si>
  <si>
    <t>Freight &amp; Cartage</t>
  </si>
  <si>
    <t>Staff Uniform Expenses</t>
  </si>
  <si>
    <t xml:space="preserve">Conveyance Allowance </t>
  </si>
  <si>
    <t xml:space="preserve">Gratuity </t>
  </si>
  <si>
    <t xml:space="preserve">P.F. Expenses </t>
  </si>
  <si>
    <t xml:space="preserve">Staff Uniform </t>
  </si>
  <si>
    <t xml:space="preserve">Staff Uniform Expenses </t>
  </si>
  <si>
    <t xml:space="preserve">Staff Welfare </t>
  </si>
  <si>
    <t>Honorarium</t>
  </si>
  <si>
    <t>Devlopment Fund Feed</t>
  </si>
  <si>
    <t>Local Fund Fees</t>
  </si>
  <si>
    <t xml:space="preserve">Admission Fees </t>
  </si>
  <si>
    <t xml:space="preserve">Application Form </t>
  </si>
  <si>
    <t xml:space="preserve">Practical Fees </t>
  </si>
  <si>
    <t xml:space="preserve">Registration Fees </t>
  </si>
  <si>
    <t xml:space="preserve">Tuition Fees </t>
  </si>
  <si>
    <t>Trans.</t>
  </si>
  <si>
    <t>Prepaid Wireless Licence Fees</t>
  </si>
  <si>
    <t>ICICI Bank A/c 19414</t>
  </si>
  <si>
    <t>Staff Advance (Salary)</t>
  </si>
  <si>
    <t>Transportation on Hire</t>
  </si>
  <si>
    <t>Wireless Expenses</t>
  </si>
  <si>
    <t>Travelling &amp; Conveyance Expenses</t>
  </si>
  <si>
    <t>Conveyance Charges</t>
  </si>
  <si>
    <t>RJ 14 1C 8080</t>
  </si>
  <si>
    <t>RJ 14 1P 2500</t>
  </si>
  <si>
    <t>RJ 14 1P 1590</t>
  </si>
  <si>
    <t>RJ 14 1P 3067</t>
  </si>
  <si>
    <t>RJ 14 1P 3076</t>
  </si>
  <si>
    <t>RJ 14 1P 3085</t>
  </si>
  <si>
    <t>RJ 14 1P 3094</t>
  </si>
  <si>
    <t>RJ 14 1P 4512 (1062)</t>
  </si>
  <si>
    <t>RJ 14 1P 4513 (1136)</t>
  </si>
  <si>
    <t>RJ 14 1P 4620 (6022)</t>
  </si>
  <si>
    <t>RJ 14 1P 4621 (729)</t>
  </si>
  <si>
    <t>RJ 14 1P 4622 (1958)</t>
  </si>
  <si>
    <t>RJ 14 1P 4623 (1163)</t>
  </si>
  <si>
    <t>RJ 14 1P 4674 (1445)</t>
  </si>
  <si>
    <t>RJ 14 1P 4676 (1241)</t>
  </si>
  <si>
    <t>RJ 14 1P 4677 (1634)</t>
  </si>
  <si>
    <t>RJ 14 1P 4678 (6719)</t>
  </si>
  <si>
    <t>RJ 14 1P 4679 (327)</t>
  </si>
  <si>
    <t>RJ 14 1P 5578</t>
  </si>
  <si>
    <t>RJ 14 1P 5587</t>
  </si>
  <si>
    <t>RJ 14 1P 5596</t>
  </si>
  <si>
    <t>RJ 14 1P 6847</t>
  </si>
  <si>
    <t>RJ 14 1P 6856</t>
  </si>
  <si>
    <t>RJ 14 1P 6865</t>
  </si>
  <si>
    <t>RJ 14 5C 0007</t>
  </si>
  <si>
    <t>RJ 14 1P 4675 (291)</t>
  </si>
  <si>
    <t>RJ 14 1P 7288</t>
  </si>
  <si>
    <t>RJ 14 1P 7297</t>
  </si>
  <si>
    <t>RJ 141P 7306</t>
  </si>
  <si>
    <t>RJ 14 1P 7315</t>
  </si>
  <si>
    <t>RJ 14 P 421</t>
  </si>
  <si>
    <t>RJ14 P 9286</t>
  </si>
  <si>
    <t>RJ 14 P 9304</t>
  </si>
  <si>
    <t>RPE 7</t>
  </si>
  <si>
    <t>Creative Service Centre</t>
  </si>
  <si>
    <t>Rajasthan Body Builders</t>
  </si>
  <si>
    <t>Vanijya Setu</t>
  </si>
  <si>
    <t>Annexure  Capital Fund</t>
  </si>
  <si>
    <t>Annexure  Sundry Creditors</t>
  </si>
  <si>
    <t>Annexure  Payables</t>
  </si>
  <si>
    <t>Annexure  College Activity</t>
  </si>
  <si>
    <t>Annexure  Advance Fee</t>
  </si>
  <si>
    <t>Annexure  Current Liability</t>
  </si>
  <si>
    <t>Annexure  Olympiad Activities</t>
  </si>
  <si>
    <t>Annexure  Branch &amp; Division</t>
  </si>
  <si>
    <t>Annexure  Security Deposit</t>
  </si>
  <si>
    <t>Annexure  Receivables</t>
  </si>
  <si>
    <t>Annexure  Cash &amp; Bank Balance</t>
  </si>
  <si>
    <t>Annexure  Prepaid Expenses</t>
  </si>
  <si>
    <t>Annexure  Unsecured Loan</t>
  </si>
  <si>
    <t>Annexure  Administration Expenses</t>
  </si>
  <si>
    <t>Annexure  Educational Expenses</t>
  </si>
  <si>
    <t>Annexure  Repair &amp; Maintenance</t>
  </si>
  <si>
    <t>Annexure  Financial Expenses</t>
  </si>
  <si>
    <t>Annexure  Staff Expenses</t>
  </si>
  <si>
    <t>Annexure  Other Receipts</t>
  </si>
  <si>
    <t>Annexure  Term Fees</t>
  </si>
  <si>
    <t>Bits (Pilani)</t>
  </si>
  <si>
    <t>DST ST PRO - Botany</t>
  </si>
  <si>
    <t>DST ST PRO - Chemistry</t>
  </si>
  <si>
    <t>DST ST PRO - GPEM Lab</t>
  </si>
  <si>
    <t>DST ST PRO - H. Sc. (F&amp;N)</t>
  </si>
  <si>
    <t>DST ST PRO - H. Sc. (Human Devlopment)</t>
  </si>
  <si>
    <t>Kota Open University</t>
  </si>
  <si>
    <t>Madhurai Kamraj University</t>
  </si>
  <si>
    <t>Student Security</t>
  </si>
  <si>
    <t>TDS Receivable</t>
  </si>
  <si>
    <t>Security for Gas Cylinders</t>
  </si>
  <si>
    <t>Security for Telephone</t>
  </si>
  <si>
    <t>Prepaid A M C</t>
  </si>
  <si>
    <t>Prepaid Legal &amp; Registration Fees</t>
  </si>
  <si>
    <t>Annexure  Loans &amp; Advances</t>
  </si>
  <si>
    <t>Anita Jain</t>
  </si>
  <si>
    <t>Dr. Sharad Rathore</t>
  </si>
  <si>
    <t>Neelu Sharma</t>
  </si>
  <si>
    <t>Neeti Agarwal</t>
  </si>
  <si>
    <t>Radha Kashyap</t>
  </si>
  <si>
    <t>Ruchi Tandon</t>
  </si>
  <si>
    <t>Seema Purohit</t>
  </si>
  <si>
    <t>Simran Singh</t>
  </si>
  <si>
    <t>Shweta Ahluwalia</t>
  </si>
  <si>
    <t>Hemraj</t>
  </si>
  <si>
    <t>Hira Lal (Fine Art)</t>
  </si>
  <si>
    <t>Madhu Kumawat</t>
  </si>
  <si>
    <t>Mahesh Singh</t>
  </si>
  <si>
    <t>Monika Munjal</t>
  </si>
  <si>
    <t>Nand Lal Sain</t>
  </si>
  <si>
    <t>Priyanka Bardiya</t>
  </si>
  <si>
    <t>Raakhi Gupta</t>
  </si>
  <si>
    <t>Vijay Laxmi Silk Enterprises</t>
  </si>
  <si>
    <t>BOR A/c 10124</t>
  </si>
  <si>
    <t>Citi Bank A/c 5004269146</t>
  </si>
  <si>
    <t>ICICI Bank A/c 11130</t>
  </si>
  <si>
    <t>Annual Drama Workshop 2003 - 04</t>
  </si>
  <si>
    <t>College Running Expenses</t>
  </si>
  <si>
    <t>Fine Art Advertisement</t>
  </si>
  <si>
    <t>IIT</t>
  </si>
  <si>
    <t>NAAC</t>
  </si>
  <si>
    <t xml:space="preserve">Subscription </t>
  </si>
  <si>
    <t>Telephone Charges</t>
  </si>
  <si>
    <t xml:space="preserve">Art &amp; Crafts </t>
  </si>
  <si>
    <t>Cambridge Courses</t>
  </si>
  <si>
    <t>CBSE Expenses</t>
  </si>
  <si>
    <t>CIT Running Expenses</t>
  </si>
  <si>
    <t xml:space="preserve">Educational Development </t>
  </si>
  <si>
    <t xml:space="preserve">Gift &amp; Prizes </t>
  </si>
  <si>
    <t>Lab &amp; Practical Expenses</t>
  </si>
  <si>
    <t>External Reimburse Expenses</t>
  </si>
  <si>
    <t>House Activity Expenses</t>
  </si>
  <si>
    <t xml:space="preserve">NSS </t>
  </si>
  <si>
    <t>Student Uniform Expenses</t>
  </si>
  <si>
    <t xml:space="preserve">Interest on Hire Purchase </t>
  </si>
  <si>
    <t>Repairs &amp; Maintenance</t>
  </si>
  <si>
    <t xml:space="preserve">Unearned Income </t>
  </si>
  <si>
    <t>BEC Fees</t>
  </si>
  <si>
    <t>IIS(Local Fund)</t>
  </si>
  <si>
    <t>Provision for AMC</t>
  </si>
  <si>
    <t>Annexure  Security Liability</t>
  </si>
  <si>
    <t>Babu Lal Tersem Kumar Jain</t>
  </si>
  <si>
    <t>BOR A/c 32173</t>
  </si>
  <si>
    <t>ICICI Bank A/c 19415</t>
  </si>
  <si>
    <t>Gokul</t>
  </si>
  <si>
    <t>Radhika Jain Expenses</t>
  </si>
  <si>
    <t>Vinita Chauhan Expenses</t>
  </si>
  <si>
    <t>Dairy (Booth) Security</t>
  </si>
  <si>
    <t>Raj. Rajya Sahakari Upbhokta Sangh Security</t>
  </si>
  <si>
    <t>Security for Cylinder</t>
  </si>
  <si>
    <t>Hostel Expenses</t>
  </si>
  <si>
    <t>Hostel Running Expenses</t>
  </si>
  <si>
    <t>Gift &amp; Prize</t>
  </si>
  <si>
    <t>Other Charges Received</t>
  </si>
  <si>
    <t>Examination Fees</t>
  </si>
  <si>
    <t>Bhouri Lal Mahawar</t>
  </si>
  <si>
    <t>Bradcast Engineering Cunsutant India Ltd.</t>
  </si>
  <si>
    <t>Gobind Ram Rochiram</t>
  </si>
  <si>
    <t>Taluka Fitting House</t>
  </si>
  <si>
    <t>A I C T E (Setelite)</t>
  </si>
  <si>
    <t>Anupam Contruction</t>
  </si>
  <si>
    <t>Chitra Handicraft</t>
  </si>
  <si>
    <t>Empire Tours &amp; Travels</t>
  </si>
  <si>
    <t>Ila Joshi (Expenses)</t>
  </si>
  <si>
    <t>Inter Designs</t>
  </si>
  <si>
    <t>L. G. Electronics India Pvt. Ltd.</t>
  </si>
  <si>
    <t>Manju Nair Expenses</t>
  </si>
  <si>
    <t>R S E B Security</t>
  </si>
  <si>
    <t>BOR A/c 29495</t>
  </si>
  <si>
    <t>ICICI Bank A/c 11131</t>
  </si>
  <si>
    <t>ICICI Bank A/c 17770 (IGNOU)</t>
  </si>
  <si>
    <t>SBBJ 10671</t>
  </si>
  <si>
    <t>F. M. Radio Running Expenses</t>
  </si>
  <si>
    <t>Lease Money (RHB)</t>
  </si>
  <si>
    <t>Legal &amp; Registration</t>
  </si>
  <si>
    <t>Montage 2003</t>
  </si>
  <si>
    <t>Mosaic 2004</t>
  </si>
  <si>
    <t xml:space="preserve">Printing &amp; Stationery </t>
  </si>
  <si>
    <t>ABC Workshop</t>
  </si>
  <si>
    <t xml:space="preserve">Cartage </t>
  </si>
  <si>
    <t>Computer</t>
  </si>
  <si>
    <t>Councelling Expenses</t>
  </si>
  <si>
    <t>I T Seminar</t>
  </si>
  <si>
    <t>Lease Line Connection</t>
  </si>
  <si>
    <t>Management Running Expenses</t>
  </si>
  <si>
    <t>Swimming Pool Repiring Expenses</t>
  </si>
  <si>
    <t>Swimming Pool Running Expenses</t>
  </si>
  <si>
    <t>IGNOU Study Center</t>
  </si>
  <si>
    <t>Swimming Pool Fees</t>
  </si>
  <si>
    <t>Rajasthan Body Builder</t>
  </si>
  <si>
    <t>Student Security (New)</t>
  </si>
  <si>
    <t>Student Security (Old)</t>
  </si>
  <si>
    <t>Annexure  Secured Loan</t>
  </si>
  <si>
    <t xml:space="preserve">IIS </t>
  </si>
  <si>
    <t>Annexure  Time Bard Cheques</t>
  </si>
  <si>
    <t>Time Bard Cheques</t>
  </si>
  <si>
    <t>Annexure  Investments</t>
  </si>
  <si>
    <t>The Urban Co - Operative Bank Ltd.</t>
  </si>
  <si>
    <t>Annexure  Donation</t>
  </si>
  <si>
    <t>Advance Conveyance Fees</t>
  </si>
  <si>
    <t>U G C A/c</t>
  </si>
  <si>
    <t>Hostel Security</t>
  </si>
  <si>
    <t>Vehicle Loan (Accord)</t>
  </si>
  <si>
    <t>RCCI Agro Project</t>
  </si>
  <si>
    <t>T-Shirt &amp; Tie</t>
  </si>
  <si>
    <t>Security for Gas Cylinder</t>
  </si>
  <si>
    <t xml:space="preserve">Telephone Security </t>
  </si>
  <si>
    <t>Running Expenses (Book Shop)</t>
  </si>
  <si>
    <t>Running Expenses (College)</t>
  </si>
  <si>
    <t>Running Expenses (F. M. Radio)</t>
  </si>
  <si>
    <t>Running Expenses (Hostel)</t>
  </si>
  <si>
    <t>Running Expenses (School)</t>
  </si>
  <si>
    <t>Running Expenses (School L/F)</t>
  </si>
  <si>
    <t>Running Expenses (Management)</t>
  </si>
  <si>
    <t>Running Expenses (CIT)</t>
  </si>
  <si>
    <t xml:space="preserve">P. F. Expenses </t>
  </si>
  <si>
    <t>Annexure  Opening Stock</t>
  </si>
  <si>
    <t>Annexure  Closing Stock for Balance Sheet</t>
  </si>
  <si>
    <t>Annexure  Stock in Hand for P &amp; L</t>
  </si>
  <si>
    <t>ICFIA (MAIN) (DUMY)</t>
  </si>
  <si>
    <t>"H".</t>
  </si>
  <si>
    <t>Detail of Depreciation on Fixed Assets for the Financial Year 2004 - 05</t>
  </si>
  <si>
    <t>S.</t>
  </si>
  <si>
    <t>Particulars</t>
  </si>
  <si>
    <t>Gross Block</t>
  </si>
  <si>
    <t>Net Block</t>
  </si>
  <si>
    <t>No.</t>
  </si>
  <si>
    <t>Rate</t>
  </si>
  <si>
    <t>W. D. V.</t>
  </si>
  <si>
    <t>Addition</t>
  </si>
  <si>
    <t>Deletion</t>
  </si>
  <si>
    <t>Total</t>
  </si>
  <si>
    <t xml:space="preserve">During the </t>
  </si>
  <si>
    <t xml:space="preserve">As on </t>
  </si>
  <si>
    <t>Grater Than</t>
  </si>
  <si>
    <t>Less Than</t>
  </si>
  <si>
    <t>Year</t>
  </si>
  <si>
    <t>31.03.2005</t>
  </si>
  <si>
    <t>01.04.2004</t>
  </si>
  <si>
    <t>180 Days</t>
  </si>
  <si>
    <t>HOSTEL</t>
  </si>
  <si>
    <t>BUILDING (IIS)</t>
  </si>
  <si>
    <t>CC TV CAMERA SET (IIS)</t>
  </si>
  <si>
    <t>COMPUTER (ASSETS) (IIS)</t>
  </si>
  <si>
    <t>D. G. SET (IIS)</t>
  </si>
  <si>
    <t>ELECTRICITY EQUIPMENTS (IIS)</t>
  </si>
  <si>
    <t>FAX MACHINE (IIS)</t>
  </si>
  <si>
    <t>FRANKING MACHINE (IIS)</t>
  </si>
  <si>
    <t>FURNITURE &amp; FIXTURE (IIS)</t>
  </si>
  <si>
    <t>GARDEN EQUIPMENTS (IIS)</t>
  </si>
  <si>
    <t>LABORATARY EQUIPMENTS (IIS)</t>
  </si>
  <si>
    <t>LAMINATION MACHINE (IIS)</t>
  </si>
  <si>
    <t>LAND (IIS)</t>
  </si>
  <si>
    <t>LIBRARY &amp; BOOKS (IIS)</t>
  </si>
  <si>
    <t>MEDICAL INSTRUMENTS (IIS)</t>
  </si>
  <si>
    <t>MUSICAL INSTRUMENTS (IIS)</t>
  </si>
  <si>
    <t>OFFICE EQUIPMENTS (IIS)</t>
  </si>
  <si>
    <t>PHOTO COPIER MACHINE (IIS)</t>
  </si>
  <si>
    <t>PLAYING EQUIPMENTS (IIS)</t>
  </si>
  <si>
    <t>RJ 14 1P 3076 (IIS)</t>
  </si>
  <si>
    <t>RJ 14 1P 3085 (IIS)</t>
  </si>
  <si>
    <t>RJ 14 1P 3094 (IIS)</t>
  </si>
  <si>
    <t>RJ 14 1P 5578 (IIS)</t>
  </si>
  <si>
    <t>RJ 14 1P 5587 (IIS)</t>
  </si>
  <si>
    <t>RJ 14 1P 5596 (IIS)</t>
  </si>
  <si>
    <t>RJ 14 1P2500 (IIS)</t>
  </si>
  <si>
    <t>RJ 14 1P3067 (TEMPO) (IIS)</t>
  </si>
  <si>
    <r>
      <t xml:space="preserve">RJ 14 36 M 0241 </t>
    </r>
    <r>
      <rPr>
        <sz val="8"/>
        <rFont val="Arial"/>
        <family val="2"/>
      </rPr>
      <t>(HERO PUCH (SHAKTI)) (IIS)</t>
    </r>
  </si>
  <si>
    <t>RJ 14 50M 1258 (SCOOTER) (IIS)</t>
  </si>
  <si>
    <t>TELEPHONE EQUIPMENTS (IIS)</t>
  </si>
  <si>
    <t>TELEVISION (IIS)</t>
  </si>
  <si>
    <t>TIME ATTENDENCE SYSTEM (IIS)</t>
  </si>
  <si>
    <t>VEHICLE  (IIS)</t>
  </si>
  <si>
    <t>WIRELESS SET (IIS)</t>
  </si>
  <si>
    <t>BUILDING (IIIM)</t>
  </si>
  <si>
    <t>CC TV CAMERA SET (IIIM)</t>
  </si>
  <si>
    <t>COMPUTER (IIIM)</t>
  </si>
  <si>
    <t>D. G. SET (IIIM)</t>
  </si>
  <si>
    <t>ELECTRIC EQUIPMENT (IIIM)</t>
  </si>
  <si>
    <t>F M RADIO EQUIPMENT (IIIM)</t>
  </si>
  <si>
    <t>FILTERATION PLANT (IIIM)</t>
  </si>
  <si>
    <t>FIRE FIGHTING EQUIPMENT (IIIM)</t>
  </si>
  <si>
    <t>FURNITURE &amp; FIXTURES (IIIM)</t>
  </si>
  <si>
    <t>GARDEN EQUIPMENT (IIIM)</t>
  </si>
  <si>
    <t>LAMINATION MACHINE (IIIM)</t>
  </si>
  <si>
    <t>LAND  (IIIM)</t>
  </si>
  <si>
    <t>LIBRARY &amp; BOOKS (IIIM)</t>
  </si>
  <si>
    <t>MUSICAL EQUIPMENT (IIIM)</t>
  </si>
  <si>
    <t>OFFICE EQUIPMENT (IIIM)</t>
  </si>
  <si>
    <t>OFFICE EQUIPMENT (COOLING) (IIIM)</t>
  </si>
  <si>
    <t>RJ 14 5C 0007 (IIIM)</t>
  </si>
  <si>
    <t>RJ 14 7C 0070 (ACCORD) (IIIM)</t>
  </si>
  <si>
    <t>RJ 14 P 9286 (IIIM)</t>
  </si>
  <si>
    <t>SOLAR SYSTEM (IIIM)</t>
  </si>
  <si>
    <t>TELEPHONE EQUIPMENT (IIIM)</t>
  </si>
  <si>
    <t>TELEVISION (IIIM)</t>
  </si>
  <si>
    <t>TIME ATTENDANCE MACHINE (IIIM)</t>
  </si>
  <si>
    <t>BUILDING (ICG)</t>
  </si>
  <si>
    <t>COMPUTER (ICG)</t>
  </si>
  <si>
    <t>COOLING EQUIPMENT (ICG)</t>
  </si>
  <si>
    <t>ELEVATOR (LIFT) (ICG)</t>
  </si>
  <si>
    <t>FIRE FIGHTING EQUIPMENT (ICG)</t>
  </si>
  <si>
    <t>FURNITURE &amp; FIXTURES (ICG)</t>
  </si>
  <si>
    <t>FAX MACHINE (ICG)</t>
  </si>
  <si>
    <t>LAB EQUIPMENTS (ART &amp; CRAFT) (ICG)</t>
  </si>
  <si>
    <t>LAB EQUIPMENTS (COOKERY) (ICG)'</t>
  </si>
  <si>
    <t>LAB EQUIPMENTS (TEXTILE) (ICG)</t>
  </si>
  <si>
    <t>LAB EQUIPMENTS (BIO TECH) (ICG)</t>
  </si>
  <si>
    <t>LABORATORY EQUIPMENTS (ICG)</t>
  </si>
  <si>
    <t>LAB EQUIPMENTS (PHY.) (ICG)</t>
  </si>
  <si>
    <t>LAB EQUIPMENTS G.P.E.M. (ICG)</t>
  </si>
  <si>
    <t>LIBRARY BOOKS (ICG)</t>
  </si>
  <si>
    <t>MEDICAL EQUIPMENTS (ICG)</t>
  </si>
  <si>
    <t>MUSICAL INSTRUMENT (ICG)</t>
  </si>
  <si>
    <t>OFFICE EQUIPMENTS (ICG)</t>
  </si>
  <si>
    <t>PLAYING EQUIPMENTS (ICG)</t>
  </si>
  <si>
    <t>TELEVISION (ICG)</t>
  </si>
  <si>
    <t>RJ 14 1P 9304 (ICG)</t>
  </si>
  <si>
    <t>RJ 14 1P 1590 (ICG)</t>
  </si>
  <si>
    <t>RJ 14 U 2500 (SCORPIO) (ICG)</t>
  </si>
  <si>
    <t>RJ 14 1P 6847 (ICG)</t>
  </si>
  <si>
    <t>RJ 14 1P 6856 (ICG)</t>
  </si>
  <si>
    <t>RJ 14 1P 6865 (ICG)</t>
  </si>
  <si>
    <t>RJ 14 1P 7288 (ICG)</t>
  </si>
  <si>
    <t>RJ 14 1P 7297 (ICG)</t>
  </si>
  <si>
    <t>RJ 14 1P 7306 (ICG)</t>
  </si>
  <si>
    <t>RJ 14 1P 7315 (ICG)</t>
  </si>
  <si>
    <t>PREJECTOR (ICG)</t>
  </si>
  <si>
    <t>TIME ATTENDANCE MACHINE (ICG)</t>
  </si>
  <si>
    <t>BUILDING AT SITAPURA W. I. P. (ICFIA)</t>
  </si>
  <si>
    <t>COMPUTER EQUIPMENT (SOFT) (ICFIA)</t>
  </si>
  <si>
    <t>FURNITURE &amp; FIXTURES (ICFIA)</t>
  </si>
  <si>
    <t>LAND (ICFIA)</t>
  </si>
  <si>
    <t>OFFICE EQUIPMENTS (ICFIA)</t>
  </si>
  <si>
    <t>OMR MACHINE (ICFIA)</t>
  </si>
  <si>
    <t>RJ 14 9C 790 (ICFIA)</t>
  </si>
  <si>
    <t>RPE - 7 (ACCENT) (ICFIA)</t>
  </si>
  <si>
    <t>TELEPHONE EQUIPMENTS (ICFIA)</t>
  </si>
  <si>
    <t>REFRIGERATION EQUIPMENTS (ICFIA)</t>
  </si>
  <si>
    <t>TELEVISION (ICFIA)</t>
  </si>
  <si>
    <t>TYPEWRITER (ICFIA)</t>
  </si>
  <si>
    <t>ELECTRICAL FITTING (ICFIA)</t>
  </si>
  <si>
    <t>BUILDING (HOSTEL)</t>
  </si>
  <si>
    <t>ELECTRIC EQUIPMENT (HOSTEL)</t>
  </si>
  <si>
    <t>FURNITURE &amp; FIXTURE (HOSTEL)</t>
  </si>
  <si>
    <t>HOSTEL EQUIPMENT (HOSTEL)</t>
  </si>
  <si>
    <t>KITCHEN EQUIPMENT (HOSTEL)</t>
  </si>
  <si>
    <t>QUILTS &amp; MATTRESES (HOSTEL)</t>
  </si>
  <si>
    <t>AIR COOLING EQUIPMENT (HOSTEL)</t>
  </si>
  <si>
    <t>VEHICLE (HOSTEL)</t>
  </si>
  <si>
    <t>SOLAR WATER HEATER (HOSTEL)</t>
  </si>
  <si>
    <t>TELEVISION  (HOSTEL)</t>
  </si>
  <si>
    <t>MUSICAL EQUIPMENT (HOSTEL)</t>
  </si>
  <si>
    <t>PHOTO COPIER MACHINE(IIIM)</t>
  </si>
  <si>
    <t>PHOTO COPIER MACHINE (ICG)</t>
  </si>
  <si>
    <t>REFRIGERATION EQUIPMENTS (IIS)</t>
  </si>
  <si>
    <t>REFRIGERATION. EQUIPMENTS (ICG)</t>
  </si>
  <si>
    <t>REFRIGERATION EQUIPMENT (HOSTEL)</t>
  </si>
  <si>
    <t>TELEPHONE EQUIPMENTS (ICG)</t>
  </si>
  <si>
    <t>NEW CHASIS (IIS)</t>
  </si>
  <si>
    <t>LAND</t>
  </si>
  <si>
    <t>BUILDING</t>
  </si>
  <si>
    <t>COMPUTER EQUIPMENT</t>
  </si>
  <si>
    <t>AIR COOLING EQUIPMENT</t>
  </si>
  <si>
    <t>D. G. SET</t>
  </si>
  <si>
    <t>ELECTRIC EQUIPMENT</t>
  </si>
  <si>
    <t>ELEVATOR (LIFT)</t>
  </si>
  <si>
    <t>FAX MACHINE</t>
  </si>
  <si>
    <t>FILTERATION PLANT</t>
  </si>
  <si>
    <t>FIRE FIGHTING EQUIPMENT</t>
  </si>
  <si>
    <t>FRANKING MACHINE</t>
  </si>
  <si>
    <t>FURNITURE &amp; FIXTURES</t>
  </si>
  <si>
    <t>GARDEN EQUIPMENTS</t>
  </si>
  <si>
    <t>HOSTEL EQUIPMENTS</t>
  </si>
  <si>
    <t>KITCHEN EQUIPMENTS</t>
  </si>
  <si>
    <t>LABORATARY EQUIPMENTS</t>
  </si>
  <si>
    <t>LAMINATION MACHINE</t>
  </si>
  <si>
    <t>LIBRARY &amp; BOOKS</t>
  </si>
  <si>
    <t>MEDICAL EQUIPMENTS</t>
  </si>
  <si>
    <t>MUSICAL EQUIPMENTS</t>
  </si>
  <si>
    <t>OFFICE EQUIPMENTS</t>
  </si>
  <si>
    <t>OMR MACHINE</t>
  </si>
  <si>
    <t>PHOTO COPIER MACHINE</t>
  </si>
  <si>
    <t>PLAYING EQUIPMENTS</t>
  </si>
  <si>
    <t>QUILTS &amp; MATTRESES</t>
  </si>
  <si>
    <t>REFRIGERATION EQUIPMENTS</t>
  </si>
  <si>
    <t>TELEVISION</t>
  </si>
  <si>
    <t>TELEPHONE EQUIPMENTS</t>
  </si>
  <si>
    <t>TIME ATTENDANCE MACHINE</t>
  </si>
  <si>
    <t>TYPEWRITER</t>
  </si>
  <si>
    <t>VEHICLE</t>
  </si>
  <si>
    <t>WIRELESS SET</t>
  </si>
  <si>
    <t>PROJECTOR</t>
  </si>
  <si>
    <t>CC TV CAMERA SET</t>
  </si>
  <si>
    <t>NEW CHASIS</t>
  </si>
  <si>
    <t>ICFIA (MAIN) (RUF 1ST)</t>
  </si>
  <si>
    <t>ICFIA (MAIN) (RUF 2ND)</t>
  </si>
  <si>
    <t>Ruf Detail of Depreciation on Fixed Assets for the Financial Year 2004 - 05</t>
  </si>
  <si>
    <t>As per our separate report of even date</t>
  </si>
  <si>
    <t>for DEEPAK SETHI &amp; ASSOCIATES</t>
  </si>
  <si>
    <t>for INDIA INTERNATIONAL SCHOOL</t>
  </si>
  <si>
    <t>(DEEPAK SETHI)</t>
  </si>
  <si>
    <t>PROPRIETOR</t>
  </si>
  <si>
    <t>PLACE : JAIPUR</t>
  </si>
  <si>
    <t xml:space="preserve">DATE   :  </t>
  </si>
  <si>
    <t>(JUSTICE S.N. BHARGAVA)</t>
  </si>
  <si>
    <t xml:space="preserve">   (CHARTERED ACCOUNTANTS)</t>
  </si>
  <si>
    <t>(Dr. ASHOK GUPTA)</t>
  </si>
  <si>
    <t>CHAIRMAN</t>
  </si>
  <si>
    <t>Sr. PRINCIPAL &amp; DIRECTOR</t>
  </si>
  <si>
    <t>f</t>
  </si>
  <si>
    <t>Annexure  Security Liability (Security Refundable)</t>
  </si>
  <si>
    <t>OTHER LIABILITY</t>
  </si>
  <si>
    <t>DST ST PRO - H. Sc. (F&amp;N) A</t>
  </si>
  <si>
    <t>DST ST PRO  - GPEM Lab</t>
  </si>
  <si>
    <t>DST ST PRO  - H. Sc. (F&amp;N)</t>
  </si>
  <si>
    <t>DST ST PRO  - H. Sc. (Human Development)</t>
  </si>
  <si>
    <t>DST. ST. PRO. (Botony) Receivable</t>
  </si>
  <si>
    <t>Annexure  Purchase for P &amp; L</t>
  </si>
  <si>
    <t>Books &amp; Uniform</t>
  </si>
  <si>
    <t>Annexure  Sales for P &amp; L</t>
  </si>
  <si>
    <t>Annexure  Sales Return for P &amp; L</t>
  </si>
  <si>
    <t>Books &amp; Uniform Return</t>
  </si>
  <si>
    <t>ICFIA (MAIN) RUF FOR P &amp; L</t>
  </si>
  <si>
    <t>ICFIA (MAIN) RUF FOR B/S</t>
  </si>
  <si>
    <t>ICFIA (MAIN) RUF FOR TRADING</t>
  </si>
  <si>
    <t>Books &amp; Paradicals (Newspaper &amp; Magazines)</t>
  </si>
  <si>
    <t xml:space="preserve">CIT &amp; Management Running </t>
  </si>
  <si>
    <t>T-Shirts &amp; Tie</t>
  </si>
  <si>
    <t>Annexure  TDS Receivables</t>
  </si>
  <si>
    <t>P/House</t>
  </si>
  <si>
    <t>LIABILITIES</t>
  </si>
  <si>
    <t>CAPITAL FUND</t>
  </si>
  <si>
    <t>BR. BALANCE</t>
  </si>
  <si>
    <t>LOAN UNSECURED</t>
  </si>
  <si>
    <t>SECURITY REFUN.</t>
  </si>
  <si>
    <t>PAYBLES</t>
  </si>
  <si>
    <t>ADVANCES FEES</t>
  </si>
  <si>
    <t>SUNDRY CRED.</t>
  </si>
  <si>
    <t>PROVISION</t>
  </si>
  <si>
    <t>ASSETS</t>
  </si>
  <si>
    <t>FIXED ASSETS</t>
  </si>
  <si>
    <t>RECEIVABLES</t>
  </si>
  <si>
    <t>CLOSING STOCK</t>
  </si>
  <si>
    <t>CASH &amp; BANK</t>
  </si>
  <si>
    <t>PREPAID</t>
  </si>
  <si>
    <t>INVESTMENTS</t>
  </si>
  <si>
    <t>TDS REFUNDABLE</t>
  </si>
  <si>
    <t>TRANS</t>
  </si>
  <si>
    <t>B/SHOP</t>
  </si>
  <si>
    <t>L/FUND</t>
  </si>
  <si>
    <t>LOANS LIB. SEC.</t>
  </si>
  <si>
    <t>TIME BARD CHEQ.</t>
  </si>
  <si>
    <t>OTHERS</t>
  </si>
  <si>
    <t>SECURITY DEPOSIT</t>
  </si>
  <si>
    <t>LOANS &amp; ADVANC.</t>
  </si>
  <si>
    <r>
      <t>ONLY STATEMENT NOT FOR ANY PRINT FOR THE ASSESSMENT YEAR 2005-06 OF</t>
    </r>
    <r>
      <rPr>
        <b/>
        <u val="single"/>
        <sz val="10"/>
        <rFont val="Arial"/>
        <family val="2"/>
      </rPr>
      <t xml:space="preserve"> INDIAN COUNCIL FOR INTERNATIONAL AMITY</t>
    </r>
  </si>
  <si>
    <t>Indian Council For International Amity</t>
  </si>
  <si>
    <t xml:space="preserve">Significant Accounting </t>
  </si>
  <si>
    <t>Policies</t>
  </si>
  <si>
    <t>Provision for Expenses</t>
  </si>
  <si>
    <t>Annexure  Provision for Expenses</t>
  </si>
  <si>
    <t>L</t>
  </si>
  <si>
    <t>Inventories</t>
  </si>
  <si>
    <t>for INDIAN COUNCIL FOR INTERNATIONAL AMITY</t>
  </si>
  <si>
    <t>Operative Bank Ltd.)</t>
  </si>
  <si>
    <t>M</t>
  </si>
  <si>
    <t>N</t>
  </si>
  <si>
    <t>O</t>
  </si>
  <si>
    <t>P</t>
  </si>
  <si>
    <t>Q</t>
  </si>
  <si>
    <t>R</t>
  </si>
  <si>
    <t>S</t>
  </si>
  <si>
    <t>T</t>
  </si>
  <si>
    <t xml:space="preserve">       CHARTERED ACCOUNTANTS</t>
  </si>
  <si>
    <t xml:space="preserve">      CHARTERED ACCOUNTANTS</t>
  </si>
  <si>
    <t>Balance Sheet As on 31st March, 2005</t>
  </si>
  <si>
    <t xml:space="preserve">SECRETARY GENERAL </t>
  </si>
  <si>
    <t>Indian Council For International Amity (MAIN)</t>
  </si>
  <si>
    <t>(Shares-The Urban Co-</t>
  </si>
  <si>
    <t xml:space="preserve">          CHAIRMAN</t>
  </si>
  <si>
    <t xml:space="preserve">                  CHAIRMAN</t>
  </si>
  <si>
    <t>Annexure "C" Unsecured Loans</t>
  </si>
  <si>
    <t>Annexure "D" Security Refundable</t>
  </si>
  <si>
    <t>ICICI Vehicle Loan (Honda Accord)</t>
  </si>
  <si>
    <t>ICICI Vehicle Loan (Buses)</t>
  </si>
  <si>
    <t>Library Security</t>
  </si>
  <si>
    <t>Key Prompt Software Pvt. Ltd.</t>
  </si>
  <si>
    <t>IIS (CIT)</t>
  </si>
  <si>
    <t>Depart.of Scie. &amp; Tech. Student Project  - H. Sc. (F&amp;N)</t>
  </si>
  <si>
    <t>Shri Suresh Gupta</t>
  </si>
  <si>
    <t>Department of Science &amp; Technology (Olympiad)</t>
  </si>
  <si>
    <t xml:space="preserve">  </t>
  </si>
  <si>
    <t>Rajasthan Housing Board</t>
  </si>
  <si>
    <t>Depart.of Scie. &amp; Tech. Student Project  - Botony</t>
  </si>
  <si>
    <t>Depart.of Scie. &amp; Tech. Student Project  - Chemistry</t>
  </si>
  <si>
    <t>Depart.of Scie. &amp; Tech. Student Project  - GPEM Lab</t>
  </si>
  <si>
    <t>Depart.of Scie. &amp; Tech. Student Project  - H. Sc.</t>
  </si>
  <si>
    <t>Examination Expenses Payable</t>
  </si>
  <si>
    <t>Provision for A M C</t>
  </si>
  <si>
    <t>Provision for Audit Fee</t>
  </si>
  <si>
    <t>Interest Payable to RHB</t>
  </si>
  <si>
    <t>Proffessional Tax Payable</t>
  </si>
  <si>
    <t>Misc. Security Deposits</t>
  </si>
  <si>
    <t>Others (Bank OD)</t>
  </si>
  <si>
    <t>Cheque Return Students Fees</t>
  </si>
  <si>
    <t xml:space="preserve">Accrued Interest on </t>
  </si>
  <si>
    <t>Fixed Deposits</t>
  </si>
  <si>
    <t>TDS Receivables</t>
  </si>
  <si>
    <t>Depart.of Science &amp; Tch. Student Project (Botony)</t>
  </si>
  <si>
    <t>Amar Chand Dangi</t>
  </si>
  <si>
    <t>Dinesh Sharma</t>
  </si>
  <si>
    <t>Hi Tech Power Co-Op. Ltd.</t>
  </si>
  <si>
    <t>Rajan Electricals</t>
  </si>
  <si>
    <t>Sapna Jain</t>
  </si>
  <si>
    <t>SPS International Ltd.</t>
  </si>
  <si>
    <t>Vidhesh Sanchar Nigam Ltd.</t>
  </si>
  <si>
    <t>Hanuman Singh Nehra</t>
  </si>
  <si>
    <t>Subhash Chandra Kumavat</t>
  </si>
  <si>
    <t>Himmat Singh</t>
  </si>
  <si>
    <t>Mangat Ram</t>
  </si>
  <si>
    <t>Chetan Kumar</t>
  </si>
  <si>
    <t>Hanuman Singh (Driver)</t>
  </si>
  <si>
    <t>Magna Ram</t>
  </si>
  <si>
    <t>Mahesh Chand</t>
  </si>
  <si>
    <t>Prem Chand Jha</t>
  </si>
  <si>
    <t>Rajendra Singh Chauhan</t>
  </si>
  <si>
    <t>Satish Kumar Gupta</t>
  </si>
  <si>
    <t>Shwet Goel</t>
  </si>
  <si>
    <t>Pearl Dodge</t>
  </si>
  <si>
    <t>Sita Ram</t>
  </si>
  <si>
    <t>Anubhuti</t>
  </si>
  <si>
    <t>Apoorv Air Control</t>
  </si>
  <si>
    <t>Broadcast Engineering Cont. India Ltd.</t>
  </si>
  <si>
    <t>Indian Society of Technical Educational</t>
  </si>
  <si>
    <t>Bank of Rajasthan Ltd. (ICG)</t>
  </si>
  <si>
    <t>Bank of Rajasthan Ltd. (IIIM)</t>
  </si>
  <si>
    <t>Bank of Rajasthan Ltd. (Hostel)</t>
  </si>
  <si>
    <t>Bank of Rajasthan Ltd. (IIS) (1)</t>
  </si>
  <si>
    <t>Bank of Rajasthan Ltd. (IIS) (2)</t>
  </si>
  <si>
    <t>City Bank (ICFIA)</t>
  </si>
  <si>
    <t>Citi Bank (ICG)</t>
  </si>
  <si>
    <t>ICICI  Bank (IIS)</t>
  </si>
  <si>
    <t>ICICI Bank (ICG)</t>
  </si>
  <si>
    <t>ICICI Bank (IIIM)</t>
  </si>
  <si>
    <t>ICICI Bank (IIIM) (IGNOU)</t>
  </si>
  <si>
    <t>ICICI Bank (IIS)</t>
  </si>
  <si>
    <t>ICICI Bank (Hostel)</t>
  </si>
  <si>
    <t>ICICI Bank (Transportation)</t>
  </si>
  <si>
    <t>ICICI Bank (ICFIA)</t>
  </si>
  <si>
    <t>ICICI Bank (Book Shop)</t>
  </si>
  <si>
    <t>ICICI Bank (Local Fund)</t>
  </si>
  <si>
    <t>Punjab National Bank (ICFIA)</t>
  </si>
  <si>
    <t>Punjab National Bank (IIS)</t>
  </si>
  <si>
    <t>State Bank of Bikaner &amp; Jaipur (IIIM)</t>
  </si>
  <si>
    <t>State Bank of India (IIS)</t>
  </si>
  <si>
    <t>Allahabad Bank</t>
  </si>
  <si>
    <t>Uco Bank (ICFIA)</t>
  </si>
  <si>
    <t>New Bank of India (ICFIA)</t>
  </si>
  <si>
    <t>Fixed Deposits with</t>
  </si>
  <si>
    <t>Bank</t>
  </si>
  <si>
    <t>Annaul Maintenance Contract</t>
  </si>
  <si>
    <t>Interest from Bank</t>
  </si>
  <si>
    <t xml:space="preserve">Sales of Books </t>
  </si>
  <si>
    <t>Sales of Uniform</t>
  </si>
  <si>
    <t>Less : Opening Stock</t>
  </si>
  <si>
    <t xml:space="preserve">          Purchase</t>
  </si>
  <si>
    <t>Hire Purchase Charges</t>
  </si>
  <si>
    <t>ICICI Bank Ltd.</t>
  </si>
  <si>
    <t>-</t>
  </si>
  <si>
    <t>Annexure "E" Advance Fees</t>
  </si>
  <si>
    <t>Annexure "F" Sundry Creditors</t>
  </si>
  <si>
    <t>Annexure "G" Other Liability</t>
  </si>
  <si>
    <t>Annexure "H" Provision for Expenses</t>
  </si>
  <si>
    <t>Annexure "J" Security Deposits</t>
  </si>
  <si>
    <t>Annexure "K" Loans &amp; Advances</t>
  </si>
  <si>
    <t>Annexure "L" Prepaid Expenses</t>
  </si>
  <si>
    <t>Annexure "M" Cash &amp; Bank Balance</t>
  </si>
  <si>
    <t>Annexure "O" Administrative Expenses</t>
  </si>
  <si>
    <t>Annexure "P" Educational Expenses</t>
  </si>
  <si>
    <t>Annexure "Q" Fees &amp; Other Receipts</t>
  </si>
  <si>
    <t>Annexure "R" Income from Books &amp; Uniform</t>
  </si>
  <si>
    <t>Annexure "S" Rent Receipts</t>
  </si>
  <si>
    <t>SOLAR SYSTEM</t>
  </si>
  <si>
    <t>"I".</t>
  </si>
  <si>
    <t>Provision for Exp.</t>
  </si>
  <si>
    <t>Educational Devlop. Exp.</t>
  </si>
  <si>
    <t>Income from Books &amp;</t>
  </si>
  <si>
    <t>Uniform</t>
  </si>
  <si>
    <t>Income &amp; Expenditure Account for the Year ended 31st March, 2005</t>
  </si>
  <si>
    <t>Annexure "N" Staff Expenses</t>
  </si>
  <si>
    <t xml:space="preserve">Citi Bank </t>
  </si>
  <si>
    <t>Time Barred Cheques</t>
  </si>
  <si>
    <t>University Grants Commission</t>
  </si>
  <si>
    <t>French Course Fees</t>
  </si>
  <si>
    <t>Kamala Singh</t>
  </si>
  <si>
    <t>Pappu Lal Saini</t>
  </si>
  <si>
    <t xml:space="preserve">Kamala Singh </t>
  </si>
  <si>
    <t xml:space="preserve">Babu Lal Meena </t>
  </si>
  <si>
    <t>Jugal Singh</t>
  </si>
  <si>
    <t>Malam Singh</t>
  </si>
  <si>
    <t>Ratan Singh</t>
  </si>
  <si>
    <t>Surkesh Sain</t>
  </si>
  <si>
    <t>Dr. Ashok Gupta</t>
  </si>
  <si>
    <t>Staff Advance Against Salary</t>
  </si>
  <si>
    <t>Staff Advance Against Expenses</t>
  </si>
  <si>
    <t>Advance Payments</t>
  </si>
  <si>
    <t>Others</t>
  </si>
  <si>
    <t>Balance  c/f</t>
  </si>
  <si>
    <t>Balance  b/f</t>
  </si>
  <si>
    <t>Excess of Income over</t>
  </si>
  <si>
    <t>Depreciation Allowable u/s 32 of the Income Tax Act 1961</t>
  </si>
  <si>
    <t>Univercity Grand Commission</t>
  </si>
  <si>
    <t>Suresh Gupta (S. Gupta)</t>
  </si>
  <si>
    <t>Annexure Fixed Deposits with Bank</t>
  </si>
  <si>
    <t>Annexure Accrued Interest on Fixed Deposits</t>
  </si>
  <si>
    <t>Annexure  Inventories (Closing Stock)</t>
  </si>
  <si>
    <t>Annexure Interest on Hire Purchase</t>
  </si>
  <si>
    <t>Annexure Interest Received from Bank</t>
  </si>
  <si>
    <t>Annexure Rent Received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</si>
</sst>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0" fillId="2" borderId="1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0" fontId="0" fillId="2" borderId="0" xfId="0" applyNumberForma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2" fontId="2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10" fontId="2" fillId="2" borderId="0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9" xfId="0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2" fillId="2" borderId="22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4" fillId="2" borderId="8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" fontId="13" fillId="2" borderId="6" xfId="0" applyNumberFormat="1" applyFont="1" applyFill="1" applyBorder="1" applyAlignment="1">
      <alignment/>
    </xf>
    <xf numFmtId="1" fontId="13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/>
    </xf>
    <xf numFmtId="1" fontId="13" fillId="2" borderId="8" xfId="0" applyNumberFormat="1" applyFont="1" applyFill="1" applyBorder="1" applyAlignment="1">
      <alignment/>
    </xf>
    <xf numFmtId="0" fontId="4" fillId="2" borderId="22" xfId="0" applyFont="1" applyFill="1" applyBorder="1" applyAlignment="1">
      <alignment horizontal="right"/>
    </xf>
    <xf numFmtId="0" fontId="13" fillId="2" borderId="22" xfId="0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1" fontId="4" fillId="2" borderId="19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1" fontId="4" fillId="2" borderId="6" xfId="0" applyNumberFormat="1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0" fillId="2" borderId="21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1" fontId="2" fillId="2" borderId="23" xfId="0" applyNumberFormat="1" applyFont="1" applyFill="1" applyBorder="1" applyAlignment="1">
      <alignment/>
    </xf>
    <xf numFmtId="1" fontId="0" fillId="2" borderId="21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23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" fontId="4" fillId="2" borderId="5" xfId="0" applyNumberFormat="1" applyFont="1" applyFill="1" applyBorder="1" applyAlignment="1">
      <alignment/>
    </xf>
    <xf numFmtId="1" fontId="4" fillId="2" borderId="8" xfId="0" applyNumberFormat="1" applyFont="1" applyFill="1" applyBorder="1" applyAlignment="1">
      <alignment/>
    </xf>
    <xf numFmtId="1" fontId="4" fillId="2" borderId="8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/>
    </xf>
    <xf numFmtId="1" fontId="2" fillId="2" borderId="21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B7" sqref="B7"/>
    </sheetView>
  </sheetViews>
  <sheetFormatPr defaultColWidth="9.140625" defaultRowHeight="12.75"/>
  <cols>
    <col min="1" max="1" width="18.421875" style="37" bestFit="1" customWidth="1"/>
    <col min="2" max="3" width="12.140625" style="37" customWidth="1"/>
    <col min="4" max="4" width="11.140625" style="37" customWidth="1"/>
    <col min="5" max="5" width="11.8515625" style="37" customWidth="1"/>
    <col min="6" max="6" width="10.8515625" style="37" customWidth="1"/>
    <col min="7" max="7" width="12.00390625" style="37" customWidth="1"/>
    <col min="8" max="8" width="11.7109375" style="37" customWidth="1"/>
    <col min="9" max="9" width="12.140625" style="37" customWidth="1"/>
    <col min="10" max="10" width="13.8515625" style="37" customWidth="1"/>
    <col min="11" max="16384" width="9.140625" style="37" customWidth="1"/>
  </cols>
  <sheetData>
    <row r="1" ht="12.75">
      <c r="A1" s="86" t="s">
        <v>716</v>
      </c>
    </row>
    <row r="2" ht="13.5" thickBot="1"/>
    <row r="3" spans="2:10" ht="13.5" thickBot="1">
      <c r="B3" s="76" t="s">
        <v>38</v>
      </c>
      <c r="C3" s="77" t="s">
        <v>77</v>
      </c>
      <c r="D3" s="77" t="s">
        <v>709</v>
      </c>
      <c r="E3" s="77" t="s">
        <v>710</v>
      </c>
      <c r="F3" s="77" t="s">
        <v>708</v>
      </c>
      <c r="G3" s="77" t="s">
        <v>39</v>
      </c>
      <c r="H3" s="77" t="s">
        <v>500</v>
      </c>
      <c r="I3" s="77" t="s">
        <v>41</v>
      </c>
      <c r="J3" s="77" t="s">
        <v>8</v>
      </c>
    </row>
    <row r="4" ht="12.75">
      <c r="A4" s="78" t="s">
        <v>691</v>
      </c>
    </row>
    <row r="5" spans="1:10" ht="12.75">
      <c r="A5" s="79" t="s">
        <v>692</v>
      </c>
      <c r="B5" s="80">
        <v>4399908</v>
      </c>
      <c r="C5" s="80">
        <v>40924317</v>
      </c>
      <c r="D5" s="80">
        <v>4747007</v>
      </c>
      <c r="E5" s="80">
        <v>30838556</v>
      </c>
      <c r="F5" s="80">
        <v>3340716</v>
      </c>
      <c r="G5" s="80">
        <v>5545677</v>
      </c>
      <c r="H5" s="80">
        <v>7962408</v>
      </c>
      <c r="I5" s="80">
        <v>0</v>
      </c>
      <c r="J5" s="80">
        <f>SUM(B5:I5)</f>
        <v>97758589</v>
      </c>
    </row>
    <row r="6" spans="1:10" ht="12.75">
      <c r="A6" s="79" t="s">
        <v>693</v>
      </c>
      <c r="B6" s="80">
        <v>8367222</v>
      </c>
      <c r="C6" s="80">
        <v>0</v>
      </c>
      <c r="D6" s="80">
        <v>0</v>
      </c>
      <c r="E6" s="80">
        <v>0</v>
      </c>
      <c r="F6" s="80">
        <v>0</v>
      </c>
      <c r="G6" s="80">
        <v>20040464</v>
      </c>
      <c r="H6" s="80">
        <v>1650288</v>
      </c>
      <c r="I6" s="80">
        <v>45760149</v>
      </c>
      <c r="J6" s="80">
        <f aca="true" t="shared" si="0" ref="J6:J16">SUM(B6:I6)</f>
        <v>75818123</v>
      </c>
    </row>
    <row r="7" spans="1:10" ht="12.75">
      <c r="A7" s="79" t="s">
        <v>711</v>
      </c>
      <c r="B7" s="80">
        <v>0</v>
      </c>
      <c r="C7" s="80">
        <v>689332</v>
      </c>
      <c r="D7" s="80">
        <v>0</v>
      </c>
      <c r="E7" s="80">
        <v>0</v>
      </c>
      <c r="F7" s="80">
        <v>0</v>
      </c>
      <c r="G7" s="80">
        <v>4838750</v>
      </c>
      <c r="H7" s="80">
        <v>0</v>
      </c>
      <c r="I7" s="80">
        <v>1056243</v>
      </c>
      <c r="J7" s="80">
        <f t="shared" si="0"/>
        <v>6584325</v>
      </c>
    </row>
    <row r="8" spans="1:10" ht="12.75">
      <c r="A8" s="79" t="s">
        <v>694</v>
      </c>
      <c r="B8" s="80">
        <v>100945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f t="shared" si="0"/>
        <v>100945</v>
      </c>
    </row>
    <row r="9" spans="1:10" ht="12.75">
      <c r="A9" s="79" t="s">
        <v>695</v>
      </c>
      <c r="B9" s="80">
        <v>0</v>
      </c>
      <c r="C9" s="85">
        <v>12700273</v>
      </c>
      <c r="D9" s="80">
        <v>0</v>
      </c>
      <c r="E9" s="80">
        <v>0</v>
      </c>
      <c r="F9" s="80">
        <v>0</v>
      </c>
      <c r="G9" s="80">
        <v>5718215</v>
      </c>
      <c r="H9" s="80">
        <f>419000+49885</f>
        <v>468885</v>
      </c>
      <c r="I9" s="80">
        <v>1182289</v>
      </c>
      <c r="J9" s="80">
        <f t="shared" si="0"/>
        <v>20069662</v>
      </c>
    </row>
    <row r="10" spans="1:10" ht="12.75">
      <c r="A10" s="79" t="s">
        <v>696</v>
      </c>
      <c r="B10" s="80">
        <v>6065</v>
      </c>
      <c r="C10" s="80">
        <v>2123632</v>
      </c>
      <c r="D10" s="80">
        <v>0</v>
      </c>
      <c r="E10" s="80">
        <v>0</v>
      </c>
      <c r="F10" s="80">
        <v>0</v>
      </c>
      <c r="G10" s="80">
        <v>1249281</v>
      </c>
      <c r="H10" s="80">
        <v>386</v>
      </c>
      <c r="I10" s="80">
        <v>390354</v>
      </c>
      <c r="J10" s="80">
        <f t="shared" si="0"/>
        <v>3769718</v>
      </c>
    </row>
    <row r="11" spans="1:10" ht="12.75">
      <c r="A11" s="79" t="s">
        <v>697</v>
      </c>
      <c r="B11" s="80">
        <v>0</v>
      </c>
      <c r="C11" s="80">
        <v>7539025</v>
      </c>
      <c r="D11" s="80">
        <v>0</v>
      </c>
      <c r="E11" s="80">
        <v>4820000</v>
      </c>
      <c r="F11" s="80">
        <v>1731225</v>
      </c>
      <c r="G11" s="80">
        <v>0</v>
      </c>
      <c r="H11" s="80">
        <v>0</v>
      </c>
      <c r="I11" s="80">
        <v>0</v>
      </c>
      <c r="J11" s="80">
        <f t="shared" si="0"/>
        <v>14090250</v>
      </c>
    </row>
    <row r="12" spans="1:10" ht="12.75">
      <c r="A12" s="79" t="s">
        <v>698</v>
      </c>
      <c r="B12" s="80">
        <v>0</v>
      </c>
      <c r="C12" s="80">
        <v>0</v>
      </c>
      <c r="D12" s="80">
        <v>1276628</v>
      </c>
      <c r="E12" s="80">
        <v>0</v>
      </c>
      <c r="F12" s="80">
        <v>0</v>
      </c>
      <c r="G12" s="80">
        <v>95575</v>
      </c>
      <c r="H12" s="80">
        <v>4561</v>
      </c>
      <c r="I12" s="80">
        <v>598743</v>
      </c>
      <c r="J12" s="80">
        <f t="shared" si="0"/>
        <v>1975507</v>
      </c>
    </row>
    <row r="13" spans="1:10" ht="12.75">
      <c r="A13" s="79" t="s">
        <v>672</v>
      </c>
      <c r="B13" s="80">
        <v>0</v>
      </c>
      <c r="C13" s="80">
        <f>5000+54355</f>
        <v>59355</v>
      </c>
      <c r="D13" s="80">
        <v>0</v>
      </c>
      <c r="E13" s="80">
        <v>0</v>
      </c>
      <c r="F13" s="80">
        <v>0</v>
      </c>
      <c r="G13" s="80">
        <v>10242</v>
      </c>
      <c r="H13" s="80">
        <v>0</v>
      </c>
      <c r="I13" s="80">
        <v>0</v>
      </c>
      <c r="J13" s="80">
        <f t="shared" si="0"/>
        <v>69597</v>
      </c>
    </row>
    <row r="14" spans="1:10" ht="12.75">
      <c r="A14" s="79" t="s">
        <v>699</v>
      </c>
      <c r="B14" s="80">
        <v>54200</v>
      </c>
      <c r="C14" s="80">
        <v>5510</v>
      </c>
      <c r="D14" s="80">
        <v>2755</v>
      </c>
      <c r="E14" s="80">
        <v>2755</v>
      </c>
      <c r="F14" s="80">
        <v>2755</v>
      </c>
      <c r="G14" s="80">
        <v>5510</v>
      </c>
      <c r="H14" s="80">
        <v>4422</v>
      </c>
      <c r="I14" s="80">
        <v>5510</v>
      </c>
      <c r="J14" s="80">
        <f t="shared" si="0"/>
        <v>83417</v>
      </c>
    </row>
    <row r="15" spans="1:10" ht="12.75">
      <c r="A15" s="79" t="s">
        <v>712</v>
      </c>
      <c r="B15" s="80">
        <v>0</v>
      </c>
      <c r="C15" s="80">
        <v>94423</v>
      </c>
      <c r="D15" s="80">
        <v>0</v>
      </c>
      <c r="E15" s="80">
        <v>0</v>
      </c>
      <c r="F15" s="80">
        <v>400</v>
      </c>
      <c r="G15" s="80">
        <v>12660</v>
      </c>
      <c r="H15" s="80">
        <v>2000</v>
      </c>
      <c r="I15" s="80">
        <v>6800</v>
      </c>
      <c r="J15" s="80">
        <f t="shared" si="0"/>
        <v>116283</v>
      </c>
    </row>
    <row r="16" spans="1:10" ht="13.5" thickBot="1">
      <c r="A16" s="79" t="s">
        <v>713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1200000</v>
      </c>
      <c r="H16" s="81">
        <v>0</v>
      </c>
      <c r="I16" s="81">
        <v>51945</v>
      </c>
      <c r="J16" s="81">
        <f t="shared" si="0"/>
        <v>1251945</v>
      </c>
    </row>
    <row r="17" spans="2:10" ht="13.5" thickBot="1">
      <c r="B17" s="82">
        <f>SUM(B5:B16)</f>
        <v>12928340</v>
      </c>
      <c r="C17" s="82">
        <f aca="true" t="shared" si="1" ref="C17:J17">SUM(C5:C16)</f>
        <v>64135867</v>
      </c>
      <c r="D17" s="82">
        <f t="shared" si="1"/>
        <v>6026390</v>
      </c>
      <c r="E17" s="82">
        <f t="shared" si="1"/>
        <v>35661311</v>
      </c>
      <c r="F17" s="82">
        <f t="shared" si="1"/>
        <v>5075096</v>
      </c>
      <c r="G17" s="82">
        <f t="shared" si="1"/>
        <v>38716374</v>
      </c>
      <c r="H17" s="82">
        <f t="shared" si="1"/>
        <v>10092950</v>
      </c>
      <c r="I17" s="82">
        <f t="shared" si="1"/>
        <v>49052033</v>
      </c>
      <c r="J17" s="83">
        <f t="shared" si="1"/>
        <v>221688361</v>
      </c>
    </row>
    <row r="18" spans="2:10" ht="12.75"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78" t="s">
        <v>700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79" t="s">
        <v>692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7230608</v>
      </c>
      <c r="J20" s="80">
        <f aca="true" t="shared" si="2" ref="J20:J29">SUM(B20:I20)</f>
        <v>7230608</v>
      </c>
    </row>
    <row r="21" spans="1:10" ht="12.75">
      <c r="A21" s="79" t="s">
        <v>693</v>
      </c>
      <c r="B21" s="80">
        <v>0</v>
      </c>
      <c r="C21" s="80">
        <v>32433800</v>
      </c>
      <c r="D21" s="80">
        <v>3814281</v>
      </c>
      <c r="E21" s="80">
        <v>35406594</v>
      </c>
      <c r="F21" s="80">
        <v>4173078</v>
      </c>
      <c r="G21" s="80">
        <v>0</v>
      </c>
      <c r="H21" s="80">
        <v>0</v>
      </c>
      <c r="I21" s="80">
        <v>0</v>
      </c>
      <c r="J21" s="80">
        <f t="shared" si="2"/>
        <v>75827753</v>
      </c>
    </row>
    <row r="22" spans="1:10" ht="12.75">
      <c r="A22" s="79" t="s">
        <v>701</v>
      </c>
      <c r="B22" s="80">
        <v>8454795</v>
      </c>
      <c r="C22" s="80">
        <v>29401192</v>
      </c>
      <c r="D22" s="80">
        <v>0</v>
      </c>
      <c r="E22" s="80">
        <v>0</v>
      </c>
      <c r="F22" s="80">
        <v>0</v>
      </c>
      <c r="G22" s="80">
        <v>32468169</v>
      </c>
      <c r="H22" s="80">
        <v>9836280</v>
      </c>
      <c r="I22" s="80">
        <v>31184967</v>
      </c>
      <c r="J22" s="80">
        <f t="shared" si="2"/>
        <v>111345403</v>
      </c>
    </row>
    <row r="23" spans="1:10" ht="12.75">
      <c r="A23" s="79" t="s">
        <v>714</v>
      </c>
      <c r="B23" s="80">
        <v>37465</v>
      </c>
      <c r="C23" s="80">
        <v>293645</v>
      </c>
      <c r="D23" s="80">
        <v>0</v>
      </c>
      <c r="E23" s="80">
        <v>0</v>
      </c>
      <c r="F23" s="80">
        <v>0</v>
      </c>
      <c r="G23" s="80">
        <v>39000</v>
      </c>
      <c r="H23" s="80">
        <v>21500</v>
      </c>
      <c r="I23" s="80">
        <v>82955</v>
      </c>
      <c r="J23" s="80">
        <f t="shared" si="2"/>
        <v>474565</v>
      </c>
    </row>
    <row r="24" spans="1:10" ht="12.75">
      <c r="A24" s="79" t="s">
        <v>702</v>
      </c>
      <c r="B24" s="80">
        <v>0</v>
      </c>
      <c r="C24" s="80">
        <v>108977</v>
      </c>
      <c r="D24" s="80">
        <v>0</v>
      </c>
      <c r="E24" s="80">
        <v>0</v>
      </c>
      <c r="F24" s="80">
        <v>0</v>
      </c>
      <c r="G24" s="80">
        <f>210027-158</f>
        <v>209869</v>
      </c>
      <c r="H24" s="80">
        <v>0</v>
      </c>
      <c r="I24" s="80">
        <f>3732940-661</f>
        <v>3732279</v>
      </c>
      <c r="J24" s="80">
        <f t="shared" si="2"/>
        <v>4051125</v>
      </c>
    </row>
    <row r="25" spans="1:10" ht="12.75">
      <c r="A25" s="79" t="s">
        <v>715</v>
      </c>
      <c r="B25" s="80">
        <v>1000</v>
      </c>
      <c r="C25" s="80">
        <v>133730</v>
      </c>
      <c r="D25" s="80">
        <v>0</v>
      </c>
      <c r="E25" s="80">
        <v>0</v>
      </c>
      <c r="F25" s="80">
        <v>169166</v>
      </c>
      <c r="G25" s="80">
        <v>418483</v>
      </c>
      <c r="H25" s="80">
        <v>32842</v>
      </c>
      <c r="I25" s="80">
        <v>761083</v>
      </c>
      <c r="J25" s="80">
        <f t="shared" si="2"/>
        <v>1516304</v>
      </c>
    </row>
    <row r="26" spans="1:10" ht="12.75">
      <c r="A26" s="79" t="s">
        <v>703</v>
      </c>
      <c r="B26" s="80">
        <v>0</v>
      </c>
      <c r="C26" s="80">
        <v>0</v>
      </c>
      <c r="D26" s="80">
        <v>1977612</v>
      </c>
      <c r="E26" s="80">
        <v>0</v>
      </c>
      <c r="F26" s="80">
        <v>0</v>
      </c>
      <c r="G26" s="80">
        <v>0</v>
      </c>
      <c r="H26" s="80">
        <v>0</v>
      </c>
      <c r="I26" s="80">
        <v>42862</v>
      </c>
      <c r="J26" s="80">
        <f t="shared" si="2"/>
        <v>2020474</v>
      </c>
    </row>
    <row r="27" spans="1:10" ht="12.75">
      <c r="A27" s="79" t="s">
        <v>704</v>
      </c>
      <c r="B27" s="80">
        <v>4216573</v>
      </c>
      <c r="C27" s="80">
        <v>1627979</v>
      </c>
      <c r="D27" s="80">
        <v>231078</v>
      </c>
      <c r="E27" s="80">
        <v>221954</v>
      </c>
      <c r="F27" s="80">
        <v>495687</v>
      </c>
      <c r="G27" s="80">
        <v>5212034</v>
      </c>
      <c r="H27" s="80">
        <v>187683</v>
      </c>
      <c r="I27" s="80">
        <v>5839172</v>
      </c>
      <c r="J27" s="80">
        <f t="shared" si="2"/>
        <v>18032160</v>
      </c>
    </row>
    <row r="28" spans="1:10" ht="12.75">
      <c r="A28" s="79" t="s">
        <v>705</v>
      </c>
      <c r="B28" s="80">
        <v>0</v>
      </c>
      <c r="C28" s="80">
        <v>126944</v>
      </c>
      <c r="D28" s="80">
        <v>3419</v>
      </c>
      <c r="E28" s="80">
        <v>32763</v>
      </c>
      <c r="F28" s="80">
        <v>237165</v>
      </c>
      <c r="G28" s="80">
        <v>368661</v>
      </c>
      <c r="H28" s="80">
        <v>14645</v>
      </c>
      <c r="I28" s="80">
        <v>177446</v>
      </c>
      <c r="J28" s="80">
        <f t="shared" si="2"/>
        <v>961043</v>
      </c>
    </row>
    <row r="29" spans="1:10" ht="12.75">
      <c r="A29" s="79" t="s">
        <v>706</v>
      </c>
      <c r="B29" s="80">
        <v>0</v>
      </c>
      <c r="C29" s="80">
        <v>9600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f t="shared" si="2"/>
        <v>9600</v>
      </c>
    </row>
    <row r="30" spans="1:10" ht="13.5" thickBot="1">
      <c r="A30" s="79" t="s">
        <v>707</v>
      </c>
      <c r="B30" s="81">
        <v>218507</v>
      </c>
      <c r="C30" s="81">
        <v>0</v>
      </c>
      <c r="D30" s="81">
        <v>0</v>
      </c>
      <c r="E30" s="81">
        <v>0</v>
      </c>
      <c r="F30" s="81">
        <v>0</v>
      </c>
      <c r="G30" s="81">
        <v>158</v>
      </c>
      <c r="H30" s="81">
        <v>0</v>
      </c>
      <c r="I30" s="81">
        <v>661</v>
      </c>
      <c r="J30" s="81">
        <f>SUM(B30:I30)</f>
        <v>219326</v>
      </c>
    </row>
    <row r="31" spans="2:10" ht="13.5" thickBot="1">
      <c r="B31" s="82">
        <f>SUM(B20:B30)</f>
        <v>12928340</v>
      </c>
      <c r="C31" s="82">
        <f aca="true" t="shared" si="3" ref="C31:J31">SUM(C20:C30)</f>
        <v>64135867</v>
      </c>
      <c r="D31" s="82">
        <f t="shared" si="3"/>
        <v>6026390</v>
      </c>
      <c r="E31" s="82">
        <f t="shared" si="3"/>
        <v>35661311</v>
      </c>
      <c r="F31" s="82">
        <f t="shared" si="3"/>
        <v>5075096</v>
      </c>
      <c r="G31" s="82">
        <f t="shared" si="3"/>
        <v>38716374</v>
      </c>
      <c r="H31" s="83">
        <f t="shared" si="3"/>
        <v>10092950</v>
      </c>
      <c r="I31" s="84">
        <f t="shared" si="3"/>
        <v>49052033</v>
      </c>
      <c r="J31" s="84">
        <f t="shared" si="3"/>
        <v>221688361</v>
      </c>
    </row>
    <row r="32" spans="2:10" ht="12.75">
      <c r="B32" s="38"/>
      <c r="C32" s="38"/>
      <c r="D32" s="38"/>
      <c r="E32" s="38"/>
      <c r="F32" s="38"/>
      <c r="G32" s="38"/>
      <c r="H32" s="38"/>
      <c r="I32" s="38"/>
      <c r="J32" s="38"/>
    </row>
    <row r="33" spans="2:10" ht="12.75">
      <c r="B33" s="38"/>
      <c r="C33" s="38"/>
      <c r="D33" s="38"/>
      <c r="E33" s="38"/>
      <c r="F33" s="38"/>
      <c r="G33" s="38"/>
      <c r="H33" s="38"/>
      <c r="I33" s="38"/>
      <c r="J33" s="38"/>
    </row>
    <row r="34" spans="2:10" ht="12.75">
      <c r="B34" s="38"/>
      <c r="C34" s="38"/>
      <c r="D34" s="38"/>
      <c r="E34" s="38"/>
      <c r="F34" s="38"/>
      <c r="G34" s="38"/>
      <c r="H34" s="38"/>
      <c r="I34" s="38"/>
      <c r="J34" s="38"/>
    </row>
    <row r="35" spans="2:10" ht="12.75">
      <c r="B35" s="38"/>
      <c r="C35" s="38"/>
      <c r="D35" s="38"/>
      <c r="E35" s="38"/>
      <c r="F35" s="38"/>
      <c r="G35" s="38"/>
      <c r="H35" s="38"/>
      <c r="I35" s="38"/>
      <c r="J35" s="38"/>
    </row>
    <row r="36" spans="2:10" ht="12.75">
      <c r="B36" s="38"/>
      <c r="C36" s="38"/>
      <c r="D36" s="38"/>
      <c r="E36" s="38"/>
      <c r="F36" s="38"/>
      <c r="G36" s="38"/>
      <c r="H36" s="38"/>
      <c r="I36" s="38"/>
      <c r="J36" s="38"/>
    </row>
    <row r="37" spans="2:10" ht="12.75">
      <c r="B37" s="38"/>
      <c r="C37" s="38"/>
      <c r="D37" s="38"/>
      <c r="E37" s="38"/>
      <c r="F37" s="38"/>
      <c r="G37" s="38"/>
      <c r="H37" s="38"/>
      <c r="I37" s="38"/>
      <c r="J37" s="38"/>
    </row>
    <row r="38" spans="2:10" ht="12.75">
      <c r="B38" s="38"/>
      <c r="C38" s="38"/>
      <c r="D38" s="38"/>
      <c r="E38" s="38"/>
      <c r="F38" s="38"/>
      <c r="G38" s="38"/>
      <c r="H38" s="38"/>
      <c r="I38" s="38"/>
      <c r="J38" s="38"/>
    </row>
    <row r="39" spans="2:10" ht="12.75">
      <c r="B39" s="38"/>
      <c r="C39" s="38"/>
      <c r="D39" s="38"/>
      <c r="E39" s="38"/>
      <c r="F39" s="38"/>
      <c r="G39" s="38"/>
      <c r="H39" s="38"/>
      <c r="I39" s="38"/>
      <c r="J39" s="38"/>
    </row>
    <row r="40" spans="2:10" ht="12.75">
      <c r="B40" s="38"/>
      <c r="C40" s="38"/>
      <c r="D40" s="38"/>
      <c r="E40" s="38"/>
      <c r="F40" s="38"/>
      <c r="G40" s="38"/>
      <c r="H40" s="38"/>
      <c r="I40" s="38"/>
      <c r="J40" s="38"/>
    </row>
    <row r="41" spans="2:10" ht="12.75">
      <c r="B41" s="38"/>
      <c r="C41" s="38"/>
      <c r="D41" s="38"/>
      <c r="E41" s="38"/>
      <c r="F41" s="38"/>
      <c r="G41" s="38"/>
      <c r="H41" s="38"/>
      <c r="I41" s="38"/>
      <c r="J41" s="38"/>
    </row>
    <row r="42" spans="2:10" ht="12.75">
      <c r="B42" s="38"/>
      <c r="C42" s="38"/>
      <c r="D42" s="38"/>
      <c r="E42" s="38"/>
      <c r="F42" s="38"/>
      <c r="G42" s="38"/>
      <c r="H42" s="38"/>
      <c r="I42" s="38"/>
      <c r="J42" s="38"/>
    </row>
    <row r="43" spans="2:10" ht="12.75">
      <c r="B43" s="38"/>
      <c r="C43" s="38"/>
      <c r="D43" s="38"/>
      <c r="E43" s="38"/>
      <c r="F43" s="38"/>
      <c r="G43" s="38"/>
      <c r="H43" s="38"/>
      <c r="I43" s="38"/>
      <c r="J43" s="38"/>
    </row>
    <row r="44" spans="2:10" ht="12.75">
      <c r="B44" s="38"/>
      <c r="C44" s="38"/>
      <c r="D44" s="38"/>
      <c r="E44" s="38"/>
      <c r="F44" s="38"/>
      <c r="G44" s="38"/>
      <c r="H44" s="38"/>
      <c r="I44" s="38"/>
      <c r="J44" s="38"/>
    </row>
    <row r="45" spans="2:10" ht="12.75">
      <c r="B45" s="38"/>
      <c r="C45" s="38"/>
      <c r="D45" s="38"/>
      <c r="E45" s="38"/>
      <c r="F45" s="38"/>
      <c r="G45" s="38"/>
      <c r="H45" s="38"/>
      <c r="I45" s="38"/>
      <c r="J45" s="38"/>
    </row>
    <row r="46" spans="2:10" ht="12.75">
      <c r="B46" s="38"/>
      <c r="C46" s="38"/>
      <c r="D46" s="38"/>
      <c r="E46" s="38"/>
      <c r="F46" s="38"/>
      <c r="G46" s="38"/>
      <c r="H46" s="38"/>
      <c r="I46" s="38"/>
      <c r="J46" s="38"/>
    </row>
    <row r="47" spans="2:10" ht="12.75">
      <c r="B47" s="38"/>
      <c r="C47" s="38"/>
      <c r="D47" s="38"/>
      <c r="E47" s="38"/>
      <c r="F47" s="38"/>
      <c r="G47" s="38"/>
      <c r="H47" s="38"/>
      <c r="I47" s="38"/>
      <c r="J47" s="38"/>
    </row>
  </sheetData>
  <sheetProtection password="DDD9" sheet="1" objects="1" scenarios="1"/>
  <printOptions/>
  <pageMargins left="0.76" right="0.25" top="1" bottom="1" header="0.53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4"/>
  <sheetViews>
    <sheetView workbookViewId="0" topLeftCell="A1">
      <selection activeCell="E7" sqref="E7"/>
    </sheetView>
  </sheetViews>
  <sheetFormatPr defaultColWidth="9.140625" defaultRowHeight="12.75"/>
  <cols>
    <col min="1" max="1" width="9.140625" style="5" customWidth="1"/>
    <col min="2" max="2" width="38.57421875" style="4" customWidth="1"/>
    <col min="3" max="3" width="3.57421875" style="4" customWidth="1"/>
    <col min="4" max="4" width="12.421875" style="4" customWidth="1"/>
    <col min="5" max="5" width="13.8515625" style="5" customWidth="1"/>
    <col min="6" max="6" width="3.28125" style="5" customWidth="1"/>
    <col min="7" max="7" width="13.00390625" style="5" customWidth="1"/>
    <col min="8" max="8" width="3.421875" style="5" customWidth="1"/>
    <col min="9" max="9" width="10.57421875" style="5" bestFit="1" customWidth="1"/>
    <col min="10" max="16384" width="9.140625" style="5" customWidth="1"/>
  </cols>
  <sheetData>
    <row r="1" spans="2:6" ht="15.75">
      <c r="B1" s="159" t="s">
        <v>685</v>
      </c>
      <c r="C1" s="159"/>
      <c r="D1" s="159"/>
      <c r="E1" s="3"/>
      <c r="F1" s="2"/>
    </row>
    <row r="2" spans="2:6" ht="12.75">
      <c r="B2" s="15" t="s">
        <v>75</v>
      </c>
      <c r="C2" s="3"/>
      <c r="D2" s="3"/>
      <c r="E2" s="3"/>
      <c r="F2" s="2"/>
    </row>
    <row r="3" spans="2:6" ht="12.75">
      <c r="B3" s="15" t="s">
        <v>76</v>
      </c>
      <c r="C3" s="3"/>
      <c r="D3" s="3"/>
      <c r="E3" s="3"/>
      <c r="F3" s="2"/>
    </row>
    <row r="4" spans="2:6" ht="12.75">
      <c r="B4" s="3"/>
      <c r="C4" s="3"/>
      <c r="D4" s="3"/>
      <c r="E4" s="3"/>
      <c r="F4" s="2"/>
    </row>
    <row r="5" spans="2:6" ht="12.75">
      <c r="B5" s="1" t="s">
        <v>0</v>
      </c>
      <c r="C5" s="2"/>
      <c r="D5" s="2"/>
      <c r="E5" s="2"/>
      <c r="F5" s="2"/>
    </row>
    <row r="6" spans="2:6" ht="12.75">
      <c r="B6" s="1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7" ht="12.75" customHeight="1">
      <c r="B8" s="1" t="s">
        <v>476</v>
      </c>
      <c r="C8" s="2"/>
      <c r="D8" s="45"/>
      <c r="G8" s="14"/>
    </row>
    <row r="9" spans="2:7" ht="12.75" customHeight="1">
      <c r="B9" s="10" t="s">
        <v>2</v>
      </c>
      <c r="C9" s="11"/>
      <c r="D9" s="3" t="s">
        <v>3</v>
      </c>
      <c r="G9" s="14"/>
    </row>
    <row r="10" spans="2:7" ht="12.75" customHeight="1">
      <c r="B10" s="11"/>
      <c r="C10" s="13"/>
      <c r="D10" s="12" t="s">
        <v>4</v>
      </c>
      <c r="G10" s="14"/>
    </row>
    <row r="11" spans="1:7" ht="12.75" customHeight="1">
      <c r="A11" s="5" t="s">
        <v>217</v>
      </c>
      <c r="B11" s="4" t="s">
        <v>139</v>
      </c>
      <c r="D11" s="14">
        <f>'RUF WORK FOR ALL'!D748</f>
        <v>1957262</v>
      </c>
      <c r="E11" s="14"/>
      <c r="G11" s="14"/>
    </row>
    <row r="12" spans="1:7" ht="12.75" customHeight="1">
      <c r="A12" s="5" t="s">
        <v>41</v>
      </c>
      <c r="B12" s="4" t="s">
        <v>247</v>
      </c>
      <c r="D12" s="50">
        <f>'RUF WORK FOR ALL'!D734</f>
        <v>13932</v>
      </c>
      <c r="E12" s="14">
        <f>SUM(D10:D12)</f>
        <v>1971194</v>
      </c>
      <c r="G12" s="14">
        <f>E12</f>
        <v>1971194</v>
      </c>
    </row>
    <row r="13" ht="12.75" customHeight="1">
      <c r="G13" s="14"/>
    </row>
    <row r="14" spans="2:7" ht="12.75" customHeight="1">
      <c r="B14" s="1" t="s">
        <v>478</v>
      </c>
      <c r="C14" s="2"/>
      <c r="D14" s="45"/>
      <c r="E14" s="4"/>
      <c r="F14" s="4"/>
      <c r="G14" s="14"/>
    </row>
    <row r="15" spans="1:7" ht="12.75" customHeight="1">
      <c r="A15" s="5" t="s">
        <v>217</v>
      </c>
      <c r="B15" s="4" t="s">
        <v>226</v>
      </c>
      <c r="D15" s="9">
        <f>'RUF WORK FOR ALL'!D740</f>
        <v>1959662</v>
      </c>
      <c r="G15" s="14"/>
    </row>
    <row r="16" spans="1:7" ht="12.75" customHeight="1">
      <c r="A16" s="5" t="s">
        <v>41</v>
      </c>
      <c r="B16" s="4" t="s">
        <v>464</v>
      </c>
      <c r="D16" s="9">
        <f>'RUF WORK FOR ALL'!D742</f>
        <v>28930</v>
      </c>
      <c r="G16" s="14"/>
    </row>
    <row r="17" spans="1:7" ht="12.75" customHeight="1">
      <c r="A17" s="5" t="s">
        <v>41</v>
      </c>
      <c r="B17" s="4" t="s">
        <v>247</v>
      </c>
      <c r="D17" s="46">
        <f>'RUF WORK FOR ALL'!D741</f>
        <v>13932</v>
      </c>
      <c r="E17" s="14">
        <f>SUM(D15:D17)</f>
        <v>2002524</v>
      </c>
      <c r="G17" s="14">
        <f>E17</f>
        <v>2002524</v>
      </c>
    </row>
    <row r="18" ht="12.75" customHeight="1">
      <c r="G18" s="14"/>
    </row>
    <row r="19" ht="12.75" customHeight="1">
      <c r="G19" s="14"/>
    </row>
    <row r="20" spans="2:7" ht="12.75">
      <c r="B20" s="1" t="s">
        <v>477</v>
      </c>
      <c r="C20" s="2"/>
      <c r="D20" s="45"/>
      <c r="G20" s="14"/>
    </row>
    <row r="21" spans="1:7" ht="12.75">
      <c r="A21" s="5" t="s">
        <v>690</v>
      </c>
      <c r="B21" s="4" t="s">
        <v>121</v>
      </c>
      <c r="C21" s="2"/>
      <c r="D21" s="48">
        <f>'RUF WORK FOR ALL'!D732</f>
        <v>21657</v>
      </c>
      <c r="G21" s="14"/>
    </row>
    <row r="22" spans="1:7" ht="12.75">
      <c r="A22" s="5" t="s">
        <v>217</v>
      </c>
      <c r="B22" s="4" t="s">
        <v>121</v>
      </c>
      <c r="D22" s="48">
        <f>'RUF WORK FOR ALL'!D733</f>
        <v>1959662</v>
      </c>
      <c r="G22" s="14"/>
    </row>
    <row r="23" spans="1:7" ht="12.75">
      <c r="A23" s="5" t="s">
        <v>41</v>
      </c>
      <c r="B23" s="4" t="s">
        <v>464</v>
      </c>
      <c r="D23" s="48">
        <f>'RUF WORK FOR ALL'!D735</f>
        <v>28930</v>
      </c>
      <c r="G23" s="14"/>
    </row>
    <row r="24" spans="1:7" ht="12.75">
      <c r="A24" s="5" t="s">
        <v>41</v>
      </c>
      <c r="B24" s="4" t="s">
        <v>247</v>
      </c>
      <c r="D24" s="50">
        <f>'RUF WORK FOR ALL'!D734</f>
        <v>13932</v>
      </c>
      <c r="E24" s="14">
        <f>SUM(D21:D24)</f>
        <v>2024181</v>
      </c>
      <c r="G24" s="14">
        <f>E24</f>
        <v>2024181</v>
      </c>
    </row>
    <row r="26" spans="2:7" ht="12.75">
      <c r="B26" s="16"/>
      <c r="C26" s="17"/>
      <c r="D26" s="16"/>
      <c r="E26" s="16"/>
      <c r="F26" s="16"/>
      <c r="G26" s="14"/>
    </row>
    <row r="27" ht="12.75">
      <c r="G27" s="14"/>
    </row>
    <row r="28" spans="2:7" ht="12.75">
      <c r="B28" s="1" t="s">
        <v>678</v>
      </c>
      <c r="G28" s="14"/>
    </row>
    <row r="29" spans="1:7" ht="12.75">
      <c r="A29" s="5" t="s">
        <v>217</v>
      </c>
      <c r="B29" s="4" t="s">
        <v>679</v>
      </c>
      <c r="D29" s="48">
        <f>'RUF WORK FOR ALL'!D755</f>
        <v>3357796</v>
      </c>
      <c r="E29" s="14"/>
      <c r="G29" s="14"/>
    </row>
    <row r="30" spans="1:7" ht="12.75">
      <c r="A30" s="5" t="s">
        <v>41</v>
      </c>
      <c r="B30" s="4" t="s">
        <v>688</v>
      </c>
      <c r="D30" s="50">
        <f>'RUF WORK FOR ALL'!D756</f>
        <v>85630</v>
      </c>
      <c r="E30" s="14">
        <f>SUM(D29:D30)</f>
        <v>3443426</v>
      </c>
      <c r="G30" s="14">
        <f>E30</f>
        <v>3443426</v>
      </c>
    </row>
    <row r="31" ht="12.75">
      <c r="G31" s="14"/>
    </row>
    <row r="32" spans="2:7" ht="12.75">
      <c r="B32" s="1" t="s">
        <v>680</v>
      </c>
      <c r="D32" s="48"/>
      <c r="G32" s="14"/>
    </row>
    <row r="33" spans="1:7" ht="12.75">
      <c r="A33" s="5" t="s">
        <v>217</v>
      </c>
      <c r="B33" s="4" t="s">
        <v>679</v>
      </c>
      <c r="D33" s="48">
        <f>'RUF WORK FOR ALL'!D761</f>
        <v>4948879</v>
      </c>
      <c r="E33" s="14"/>
      <c r="G33" s="14"/>
    </row>
    <row r="34" spans="1:7" ht="12.75">
      <c r="A34" s="5" t="s">
        <v>41</v>
      </c>
      <c r="B34" s="4" t="s">
        <v>688</v>
      </c>
      <c r="D34" s="50">
        <f>'RUF WORK FOR ALL'!D762</f>
        <v>56700</v>
      </c>
      <c r="E34" s="14">
        <f>SUM(D33:D34)</f>
        <v>5005579</v>
      </c>
      <c r="G34" s="14">
        <f>E34</f>
        <v>5005579</v>
      </c>
    </row>
    <row r="35" spans="4:7" ht="12.75">
      <c r="D35" s="48"/>
      <c r="G35" s="14"/>
    </row>
    <row r="36" spans="2:7" ht="12.75">
      <c r="B36" s="1" t="s">
        <v>681</v>
      </c>
      <c r="D36" s="48"/>
      <c r="G36" s="14"/>
    </row>
    <row r="37" spans="1:9" ht="12.75">
      <c r="A37" s="5" t="s">
        <v>217</v>
      </c>
      <c r="B37" s="4" t="s">
        <v>682</v>
      </c>
      <c r="D37" s="48">
        <f>'RUF WORK FOR ALL'!D767</f>
        <v>166357</v>
      </c>
      <c r="E37" s="14">
        <f>D37</f>
        <v>166357</v>
      </c>
      <c r="G37" s="14">
        <f>E37</f>
        <v>166357</v>
      </c>
      <c r="I37" s="14"/>
    </row>
    <row r="38" ht="12.75">
      <c r="G38" s="14"/>
    </row>
    <row r="39" ht="12.75">
      <c r="G39" s="14"/>
    </row>
    <row r="40" ht="12.75">
      <c r="G40" s="14"/>
    </row>
    <row r="41" ht="12.75">
      <c r="G41" s="14"/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4:5" ht="12.75">
      <c r="D106" s="9"/>
      <c r="E106" s="48"/>
    </row>
    <row r="107" spans="4:7" ht="12.75">
      <c r="D107" s="8"/>
      <c r="E107" s="4"/>
      <c r="G107" s="14"/>
    </row>
    <row r="108" spans="3:7" ht="12.75">
      <c r="C108" s="2"/>
      <c r="G108" s="14"/>
    </row>
    <row r="127" ht="12.75">
      <c r="G127" s="14"/>
    </row>
    <row r="128" ht="12.75">
      <c r="G128" s="14"/>
    </row>
    <row r="129" ht="12.75">
      <c r="G129" s="14"/>
    </row>
    <row r="130" ht="12.75">
      <c r="G130" s="14"/>
    </row>
    <row r="131" ht="12.75">
      <c r="G131" s="14"/>
    </row>
    <row r="132" ht="12.75">
      <c r="G132" s="14"/>
    </row>
    <row r="133" ht="12.75">
      <c r="G133" s="14"/>
    </row>
    <row r="134" ht="12.75">
      <c r="G134" s="14"/>
    </row>
    <row r="135" ht="12.75">
      <c r="G135" s="14"/>
    </row>
    <row r="136" ht="12.75">
      <c r="G136" s="14"/>
    </row>
    <row r="137" ht="12.75">
      <c r="G137" s="14"/>
    </row>
    <row r="138" ht="12.75">
      <c r="G138" s="14"/>
    </row>
    <row r="139" ht="12.75">
      <c r="G139" s="14"/>
    </row>
    <row r="140" ht="12.75">
      <c r="G140" s="14"/>
    </row>
    <row r="141" ht="12.75">
      <c r="G141" s="14"/>
    </row>
    <row r="142" ht="12.75">
      <c r="G142" s="14"/>
    </row>
    <row r="143" ht="12.75">
      <c r="G143" s="14"/>
    </row>
    <row r="144" ht="12.75">
      <c r="G144" s="14"/>
    </row>
    <row r="145" ht="12.75">
      <c r="G145" s="14"/>
    </row>
    <row r="146" ht="12.75">
      <c r="G146" s="14"/>
    </row>
    <row r="147" ht="12.75">
      <c r="G147" s="14"/>
    </row>
    <row r="148" ht="12.75">
      <c r="G148" s="14"/>
    </row>
    <row r="149" ht="12.75">
      <c r="G149" s="14"/>
    </row>
    <row r="150" ht="12.75">
      <c r="G150" s="14"/>
    </row>
    <row r="151" ht="12.75">
      <c r="G151" s="14"/>
    </row>
    <row r="152" ht="12.75">
      <c r="G152" s="14"/>
    </row>
    <row r="153" ht="12.75">
      <c r="G153" s="14"/>
    </row>
    <row r="154" ht="12.75">
      <c r="G154" s="14"/>
    </row>
    <row r="155" ht="12.75">
      <c r="G155" s="14"/>
    </row>
    <row r="156" ht="12.75">
      <c r="G156" s="14"/>
    </row>
    <row r="157" ht="12.75">
      <c r="G157" s="14"/>
    </row>
    <row r="158" ht="12.75">
      <c r="G158" s="14"/>
    </row>
    <row r="159" ht="12.75">
      <c r="G159" s="14"/>
    </row>
    <row r="160" ht="12.75">
      <c r="G160" s="14"/>
    </row>
    <row r="161" ht="12.75">
      <c r="G161" s="14"/>
    </row>
    <row r="162" ht="12.75">
      <c r="G162" s="14"/>
    </row>
    <row r="163" ht="12.75">
      <c r="G163" s="14"/>
    </row>
    <row r="164" ht="12.75">
      <c r="G164" s="14"/>
    </row>
    <row r="165" ht="12.75">
      <c r="G165" s="14"/>
    </row>
    <row r="166" ht="12.75">
      <c r="G166" s="14"/>
    </row>
    <row r="167" ht="12.75">
      <c r="G167" s="14"/>
    </row>
    <row r="168" ht="12.75">
      <c r="G168" s="14"/>
    </row>
    <row r="169" ht="12.75">
      <c r="G169" s="14"/>
    </row>
    <row r="170" ht="12.75">
      <c r="G170" s="14"/>
    </row>
    <row r="171" ht="12.75">
      <c r="G171" s="14"/>
    </row>
    <row r="172" ht="12.75">
      <c r="G172" s="14"/>
    </row>
    <row r="173" ht="12.75">
      <c r="G173" s="14"/>
    </row>
    <row r="174" ht="12.75">
      <c r="G174" s="14"/>
    </row>
    <row r="175" ht="12.75">
      <c r="G175" s="14"/>
    </row>
    <row r="176" ht="12.75">
      <c r="G176" s="14"/>
    </row>
    <row r="177" ht="12.75">
      <c r="G177" s="14"/>
    </row>
    <row r="178" ht="12.75">
      <c r="G178" s="14"/>
    </row>
    <row r="179" ht="12.75">
      <c r="G179" s="14"/>
    </row>
    <row r="180" ht="12.75">
      <c r="G180" s="14"/>
    </row>
    <row r="181" ht="12.75">
      <c r="G181" s="14"/>
    </row>
    <row r="182" ht="12.75">
      <c r="G182" s="14"/>
    </row>
    <row r="183" ht="12.75">
      <c r="G183" s="14"/>
    </row>
    <row r="184" ht="12.75">
      <c r="G184" s="14"/>
    </row>
    <row r="185" ht="12.75">
      <c r="G185" s="14"/>
    </row>
    <row r="186" ht="12.75">
      <c r="G186" s="14"/>
    </row>
    <row r="187" ht="12.75">
      <c r="G187" s="14"/>
    </row>
    <row r="188" ht="12.75">
      <c r="G188" s="14"/>
    </row>
    <row r="189" ht="12.75">
      <c r="G189" s="14"/>
    </row>
    <row r="190" ht="12.75">
      <c r="G190" s="14"/>
    </row>
    <row r="191" ht="12.75">
      <c r="G191" s="14"/>
    </row>
    <row r="192" ht="12.75">
      <c r="G192" s="14"/>
    </row>
    <row r="193" ht="12.75">
      <c r="G193" s="14"/>
    </row>
    <row r="194" ht="12.75">
      <c r="G194" s="14"/>
    </row>
    <row r="195" ht="12.75">
      <c r="G195" s="14"/>
    </row>
    <row r="196" ht="12.75">
      <c r="G196" s="14"/>
    </row>
    <row r="197" ht="12.75">
      <c r="G197" s="14"/>
    </row>
    <row r="198" ht="12.75">
      <c r="G198" s="14"/>
    </row>
    <row r="199" ht="12.75">
      <c r="G199" s="14"/>
    </row>
    <row r="200" ht="12.75">
      <c r="G200" s="14"/>
    </row>
    <row r="201" ht="12.75">
      <c r="G201" s="14"/>
    </row>
    <row r="202" ht="12.75">
      <c r="G202" s="14"/>
    </row>
    <row r="203" ht="12.75">
      <c r="G203" s="14"/>
    </row>
    <row r="204" ht="12.75">
      <c r="G204" s="14"/>
    </row>
    <row r="205" ht="12.75">
      <c r="G205" s="14"/>
    </row>
    <row r="206" ht="12.75">
      <c r="G206" s="14"/>
    </row>
    <row r="207" ht="12.75">
      <c r="G207" s="14"/>
    </row>
    <row r="208" ht="12.75">
      <c r="G208" s="14"/>
    </row>
    <row r="209" ht="12.75">
      <c r="G209" s="14"/>
    </row>
    <row r="210" ht="12.75">
      <c r="G210" s="14"/>
    </row>
    <row r="211" ht="12.75">
      <c r="G211" s="14"/>
    </row>
    <row r="212" ht="12.75">
      <c r="G212" s="14"/>
    </row>
    <row r="213" ht="12.75">
      <c r="G213" s="14"/>
    </row>
    <row r="214" ht="12.75">
      <c r="G214" s="14"/>
    </row>
    <row r="215" ht="12.75">
      <c r="G215" s="14"/>
    </row>
    <row r="216" ht="12.75">
      <c r="G216" s="14"/>
    </row>
    <row r="217" ht="12.75">
      <c r="G217" s="14"/>
    </row>
    <row r="218" ht="12.75">
      <c r="G218" s="14"/>
    </row>
    <row r="219" ht="12.75">
      <c r="G219" s="14"/>
    </row>
    <row r="220" ht="12.75">
      <c r="G220" s="14"/>
    </row>
    <row r="221" ht="12.75">
      <c r="G221" s="14"/>
    </row>
    <row r="222" ht="12.75">
      <c r="G222" s="14"/>
    </row>
    <row r="223" ht="12.75">
      <c r="G223" s="14"/>
    </row>
    <row r="224" ht="12.75">
      <c r="G224" s="14"/>
    </row>
    <row r="225" ht="12.75">
      <c r="G225" s="14"/>
    </row>
    <row r="226" ht="12.75">
      <c r="G226" s="14"/>
    </row>
    <row r="227" ht="12.75">
      <c r="G227" s="14"/>
    </row>
    <row r="228" ht="12.75">
      <c r="G228" s="14"/>
    </row>
    <row r="229" ht="12.75">
      <c r="G229" s="14"/>
    </row>
    <row r="230" ht="12.75">
      <c r="G230" s="14"/>
    </row>
    <row r="231" ht="12.75">
      <c r="G231" s="14"/>
    </row>
    <row r="232" ht="12.75">
      <c r="G232" s="14"/>
    </row>
    <row r="233" ht="12.75">
      <c r="G233" s="14"/>
    </row>
    <row r="234" ht="12.75">
      <c r="G234" s="14"/>
    </row>
    <row r="235" ht="12.75">
      <c r="G235" s="14"/>
    </row>
    <row r="236" ht="12.75">
      <c r="G236" s="14"/>
    </row>
    <row r="237" ht="12.75">
      <c r="G237" s="14"/>
    </row>
    <row r="238" ht="12.75">
      <c r="G238" s="14"/>
    </row>
    <row r="239" ht="12.75">
      <c r="G239" s="14"/>
    </row>
    <row r="240" ht="12.75">
      <c r="G240" s="14"/>
    </row>
    <row r="241" ht="12.75">
      <c r="G241" s="14"/>
    </row>
    <row r="242" ht="12.75">
      <c r="G242" s="14"/>
    </row>
    <row r="243" ht="12.75">
      <c r="G243" s="14"/>
    </row>
    <row r="244" ht="12.75">
      <c r="G244" s="14"/>
    </row>
    <row r="245" ht="12.75">
      <c r="G245" s="14"/>
    </row>
    <row r="246" ht="12.75">
      <c r="G246" s="14"/>
    </row>
    <row r="247" ht="12.75">
      <c r="G247" s="14"/>
    </row>
    <row r="248" ht="12.75">
      <c r="G248" s="14"/>
    </row>
    <row r="249" ht="12.75">
      <c r="G249" s="14"/>
    </row>
    <row r="250" ht="12.75">
      <c r="G250" s="14"/>
    </row>
    <row r="251" ht="12.75">
      <c r="G251" s="14"/>
    </row>
    <row r="252" ht="12.75">
      <c r="G252" s="14"/>
    </row>
    <row r="253" ht="12.75">
      <c r="G253" s="14"/>
    </row>
    <row r="254" ht="12.75">
      <c r="G254" s="14"/>
    </row>
    <row r="255" ht="12.75">
      <c r="G255" s="14"/>
    </row>
    <row r="256" ht="12.75">
      <c r="G256" s="14"/>
    </row>
    <row r="257" ht="12.75">
      <c r="G257" s="14"/>
    </row>
    <row r="258" ht="12.75">
      <c r="G258" s="14"/>
    </row>
    <row r="259" ht="12.75">
      <c r="G259" s="14"/>
    </row>
    <row r="260" ht="12.75">
      <c r="G260" s="14"/>
    </row>
    <row r="261" ht="12.75">
      <c r="G261" s="14"/>
    </row>
    <row r="262" ht="12.75">
      <c r="G262" s="14"/>
    </row>
    <row r="263" ht="12.75">
      <c r="G263" s="14"/>
    </row>
    <row r="264" ht="12.75">
      <c r="G264" s="14"/>
    </row>
    <row r="265" ht="12.75">
      <c r="G265" s="14"/>
    </row>
    <row r="266" ht="12.75">
      <c r="G266" s="14"/>
    </row>
    <row r="267" ht="12.75">
      <c r="G267" s="14"/>
    </row>
    <row r="268" ht="12.75">
      <c r="G268" s="14"/>
    </row>
    <row r="269" ht="12.75">
      <c r="G269" s="14"/>
    </row>
    <row r="270" ht="12.75">
      <c r="G270" s="14"/>
    </row>
    <row r="271" ht="12.75">
      <c r="G271" s="14"/>
    </row>
    <row r="272" ht="12.75">
      <c r="G272" s="14"/>
    </row>
    <row r="273" ht="12.75">
      <c r="G273" s="14"/>
    </row>
    <row r="274" ht="12.75">
      <c r="G274" s="14"/>
    </row>
    <row r="275" ht="12.75">
      <c r="G275" s="14"/>
    </row>
    <row r="276" ht="12.75">
      <c r="G276" s="14"/>
    </row>
    <row r="277" ht="12.75">
      <c r="G277" s="14"/>
    </row>
    <row r="278" ht="12.75">
      <c r="G278" s="14"/>
    </row>
    <row r="279" ht="12.75">
      <c r="G279" s="14"/>
    </row>
    <row r="280" ht="12.75">
      <c r="G280" s="14"/>
    </row>
    <row r="281" ht="12.75">
      <c r="G281" s="14"/>
    </row>
    <row r="282" ht="12.75">
      <c r="G282" s="14"/>
    </row>
    <row r="283" ht="12.75">
      <c r="G283" s="14"/>
    </row>
    <row r="284" ht="12.75">
      <c r="G284" s="14"/>
    </row>
    <row r="285" ht="12.75">
      <c r="G285" s="14"/>
    </row>
    <row r="286" ht="12.75">
      <c r="G286" s="14"/>
    </row>
    <row r="287" ht="12.75">
      <c r="G287" s="14"/>
    </row>
    <row r="288" ht="12.75">
      <c r="G288" s="14"/>
    </row>
    <row r="289" ht="12.75">
      <c r="G289" s="14"/>
    </row>
    <row r="290" ht="12.75">
      <c r="G290" s="14"/>
    </row>
    <row r="291" ht="12.75">
      <c r="G291" s="14"/>
    </row>
    <row r="292" ht="12.75">
      <c r="G292" s="14"/>
    </row>
    <row r="293" ht="12.75">
      <c r="G293" s="14"/>
    </row>
    <row r="294" ht="12.75">
      <c r="G294" s="14"/>
    </row>
    <row r="295" ht="12.75">
      <c r="G295" s="14"/>
    </row>
    <row r="296" ht="12.75">
      <c r="G296" s="14"/>
    </row>
    <row r="297" ht="12.75">
      <c r="G297" s="14"/>
    </row>
    <row r="298" ht="12.75">
      <c r="G298" s="14"/>
    </row>
    <row r="299" ht="12.75">
      <c r="G299" s="14"/>
    </row>
    <row r="300" ht="12.75">
      <c r="G300" s="14"/>
    </row>
    <row r="301" ht="12.75">
      <c r="G301" s="14"/>
    </row>
    <row r="302" ht="12.75">
      <c r="G302" s="14"/>
    </row>
    <row r="303" ht="12.75">
      <c r="G303" s="14"/>
    </row>
    <row r="304" ht="12.75">
      <c r="G304" s="14"/>
    </row>
    <row r="305" ht="12.75">
      <c r="G305" s="14"/>
    </row>
    <row r="306" ht="12.75">
      <c r="G306" s="14"/>
    </row>
    <row r="307" ht="12.75">
      <c r="G307" s="14"/>
    </row>
    <row r="308" ht="12.75">
      <c r="G308" s="14"/>
    </row>
    <row r="309" ht="12.75">
      <c r="G309" s="14"/>
    </row>
    <row r="310" ht="12.75">
      <c r="G310" s="14"/>
    </row>
    <row r="311" ht="12.75">
      <c r="G311" s="14"/>
    </row>
    <row r="312" ht="12.75">
      <c r="G312" s="14"/>
    </row>
    <row r="313" ht="12.75">
      <c r="G313" s="14"/>
    </row>
    <row r="314" ht="12.75">
      <c r="G314" s="14"/>
    </row>
    <row r="315" ht="12.75">
      <c r="G315" s="14"/>
    </row>
    <row r="316" ht="12.75">
      <c r="G316" s="14"/>
    </row>
    <row r="317" ht="12.75">
      <c r="G317" s="14"/>
    </row>
    <row r="318" ht="12.75">
      <c r="G318" s="14"/>
    </row>
    <row r="319" ht="12.75">
      <c r="G319" s="14"/>
    </row>
    <row r="320" ht="12.75">
      <c r="G320" s="14"/>
    </row>
    <row r="321" ht="12.75">
      <c r="G321" s="14"/>
    </row>
    <row r="322" ht="12.75">
      <c r="G322" s="14"/>
    </row>
    <row r="323" ht="12.75">
      <c r="G323" s="14"/>
    </row>
    <row r="324" ht="12.75">
      <c r="G324" s="14"/>
    </row>
    <row r="325" ht="12.75">
      <c r="G325" s="14"/>
    </row>
    <row r="326" ht="12.75">
      <c r="G326" s="14"/>
    </row>
    <row r="327" ht="12.75">
      <c r="G327" s="14"/>
    </row>
    <row r="328" ht="12.75">
      <c r="G328" s="14"/>
    </row>
    <row r="329" ht="12.75">
      <c r="G329" s="14"/>
    </row>
    <row r="330" ht="12.75">
      <c r="G330" s="14"/>
    </row>
    <row r="331" ht="12.75">
      <c r="G331" s="14"/>
    </row>
    <row r="332" ht="12.75">
      <c r="G332" s="14"/>
    </row>
    <row r="333" ht="12.75">
      <c r="G333" s="14"/>
    </row>
    <row r="334" ht="12.75">
      <c r="G334" s="14"/>
    </row>
    <row r="335" ht="12.75">
      <c r="G335" s="14"/>
    </row>
    <row r="336" ht="12.75">
      <c r="G336" s="14"/>
    </row>
    <row r="337" ht="12.75">
      <c r="G337" s="14"/>
    </row>
    <row r="338" ht="12.75">
      <c r="G338" s="14"/>
    </row>
    <row r="339" ht="12.75">
      <c r="G339" s="14"/>
    </row>
    <row r="340" ht="12.75">
      <c r="G340" s="14"/>
    </row>
    <row r="341" ht="12.75">
      <c r="G341" s="14"/>
    </row>
    <row r="342" ht="12.75">
      <c r="G342" s="14"/>
    </row>
    <row r="343" ht="12.75">
      <c r="G343" s="14"/>
    </row>
    <row r="344" ht="12.75">
      <c r="G344" s="14"/>
    </row>
    <row r="345" ht="12.75">
      <c r="G345" s="14"/>
    </row>
    <row r="346" ht="12.75">
      <c r="G346" s="14"/>
    </row>
    <row r="347" ht="12.75">
      <c r="G347" s="14"/>
    </row>
    <row r="348" ht="12.75">
      <c r="G348" s="14"/>
    </row>
    <row r="349" ht="12.75">
      <c r="G349" s="14"/>
    </row>
    <row r="350" ht="12.75">
      <c r="G350" s="14"/>
    </row>
    <row r="351" ht="12.75">
      <c r="G351" s="14"/>
    </row>
    <row r="352" ht="12.75">
      <c r="G352" s="14"/>
    </row>
    <row r="353" ht="12.75">
      <c r="G353" s="14"/>
    </row>
    <row r="354" ht="12.75">
      <c r="G354" s="14"/>
    </row>
    <row r="355" ht="12.75">
      <c r="G355" s="14"/>
    </row>
    <row r="356" ht="12.75">
      <c r="G356" s="14"/>
    </row>
    <row r="357" ht="12.75">
      <c r="G357" s="14"/>
    </row>
    <row r="358" ht="12.75">
      <c r="G358" s="14"/>
    </row>
    <row r="359" ht="12.75">
      <c r="G359" s="14"/>
    </row>
    <row r="360" ht="12.75">
      <c r="G360" s="14"/>
    </row>
    <row r="361" ht="12.75">
      <c r="G361" s="14"/>
    </row>
    <row r="362" ht="12.75">
      <c r="G362" s="14"/>
    </row>
    <row r="363" ht="12.75">
      <c r="G363" s="14"/>
    </row>
    <row r="364" ht="12.75">
      <c r="G364" s="14"/>
    </row>
    <row r="365" ht="12.75">
      <c r="G365" s="14"/>
    </row>
    <row r="366" ht="12.75">
      <c r="G366" s="14"/>
    </row>
    <row r="367" ht="12.75">
      <c r="G367" s="14"/>
    </row>
    <row r="368" ht="12.75">
      <c r="G368" s="14"/>
    </row>
    <row r="369" ht="12.75">
      <c r="G369" s="14"/>
    </row>
    <row r="370" ht="12.75">
      <c r="G370" s="14"/>
    </row>
    <row r="371" ht="12.75">
      <c r="G371" s="14"/>
    </row>
    <row r="372" ht="12.75">
      <c r="G372" s="14"/>
    </row>
    <row r="373" ht="12.75">
      <c r="G373" s="14"/>
    </row>
    <row r="374" ht="12.75">
      <c r="G374" s="14"/>
    </row>
    <row r="375" ht="12.75">
      <c r="G375" s="14"/>
    </row>
    <row r="376" ht="12.75">
      <c r="G376" s="14"/>
    </row>
    <row r="377" ht="12.75">
      <c r="G377" s="14"/>
    </row>
    <row r="378" ht="12.75">
      <c r="G378" s="14"/>
    </row>
    <row r="379" ht="12.75">
      <c r="G379" s="14"/>
    </row>
    <row r="380" ht="12.75">
      <c r="G380" s="14"/>
    </row>
    <row r="381" ht="12.75">
      <c r="G381" s="14"/>
    </row>
    <row r="382" ht="12.75">
      <c r="G382" s="14"/>
    </row>
    <row r="383" ht="12.75">
      <c r="G383" s="14"/>
    </row>
    <row r="384" ht="12.75">
      <c r="G384" s="14"/>
    </row>
    <row r="385" ht="12.75">
      <c r="G385" s="14"/>
    </row>
    <row r="386" ht="12.75">
      <c r="G386" s="14"/>
    </row>
    <row r="387" ht="12.75">
      <c r="G387" s="14"/>
    </row>
    <row r="388" ht="12.75">
      <c r="G388" s="14"/>
    </row>
    <row r="389" ht="12.75">
      <c r="G389" s="14"/>
    </row>
    <row r="390" ht="12.75">
      <c r="G390" s="14"/>
    </row>
    <row r="391" ht="12.75">
      <c r="G391" s="14"/>
    </row>
    <row r="392" ht="12.75">
      <c r="G392" s="14"/>
    </row>
    <row r="393" ht="12.75">
      <c r="G393" s="14"/>
    </row>
    <row r="394" ht="12.75">
      <c r="G394" s="14"/>
    </row>
    <row r="395" ht="12.75">
      <c r="G395" s="14"/>
    </row>
    <row r="396" ht="12.75">
      <c r="G396" s="14"/>
    </row>
    <row r="397" ht="12.75">
      <c r="G397" s="14"/>
    </row>
    <row r="398" ht="12.75">
      <c r="G398" s="14"/>
    </row>
    <row r="399" ht="12.75">
      <c r="G399" s="14"/>
    </row>
    <row r="400" ht="12.75">
      <c r="G400" s="14"/>
    </row>
    <row r="401" ht="12.75">
      <c r="G401" s="14"/>
    </row>
    <row r="402" ht="12.75">
      <c r="G402" s="14"/>
    </row>
    <row r="403" ht="12.75">
      <c r="G403" s="14"/>
    </row>
    <row r="404" ht="12.75">
      <c r="G404" s="14"/>
    </row>
    <row r="405" ht="12.75">
      <c r="G405" s="14"/>
    </row>
    <row r="406" ht="12.75">
      <c r="G406" s="14"/>
    </row>
    <row r="407" ht="12.75">
      <c r="G407" s="14"/>
    </row>
    <row r="408" ht="12.75">
      <c r="G408" s="14"/>
    </row>
    <row r="409" ht="12.75">
      <c r="G409" s="14"/>
    </row>
    <row r="410" ht="12.75">
      <c r="G410" s="14"/>
    </row>
    <row r="411" ht="12.75">
      <c r="G411" s="14"/>
    </row>
    <row r="412" ht="12.75">
      <c r="G412" s="14"/>
    </row>
    <row r="413" ht="12.75">
      <c r="G413" s="14"/>
    </row>
    <row r="414" ht="12.75">
      <c r="G414" s="14"/>
    </row>
    <row r="415" ht="12.75">
      <c r="G415" s="14"/>
    </row>
    <row r="416" ht="12.75">
      <c r="G416" s="14"/>
    </row>
    <row r="417" ht="12.75">
      <c r="G417" s="14"/>
    </row>
    <row r="418" ht="12.75">
      <c r="G418" s="14"/>
    </row>
    <row r="419" ht="12.75">
      <c r="G419" s="14"/>
    </row>
    <row r="420" ht="12.75">
      <c r="G420" s="14"/>
    </row>
    <row r="421" ht="12.75">
      <c r="G421" s="14"/>
    </row>
    <row r="422" ht="12.75">
      <c r="G422" s="14"/>
    </row>
    <row r="423" ht="12.75">
      <c r="G423" s="14"/>
    </row>
    <row r="424" ht="12.75">
      <c r="G424" s="14"/>
    </row>
    <row r="425" ht="12.75">
      <c r="G425" s="14"/>
    </row>
    <row r="426" ht="12.75">
      <c r="G426" s="14"/>
    </row>
    <row r="427" ht="12.75">
      <c r="G427" s="14"/>
    </row>
    <row r="428" ht="12.75">
      <c r="G428" s="14"/>
    </row>
    <row r="429" ht="12.75">
      <c r="G429" s="14"/>
    </row>
    <row r="430" ht="12.75">
      <c r="G430" s="14"/>
    </row>
    <row r="431" ht="12.75">
      <c r="G431" s="14"/>
    </row>
    <row r="432" ht="12.75">
      <c r="G432" s="14"/>
    </row>
    <row r="433" ht="12.75">
      <c r="G433" s="14"/>
    </row>
    <row r="434" ht="12.75">
      <c r="G434" s="14"/>
    </row>
    <row r="435" ht="12.75">
      <c r="G435" s="14"/>
    </row>
    <row r="436" ht="12.75">
      <c r="G436" s="14"/>
    </row>
    <row r="437" ht="12.75">
      <c r="G437" s="14"/>
    </row>
    <row r="438" ht="12.75">
      <c r="G438" s="14"/>
    </row>
    <row r="439" ht="12.75">
      <c r="G439" s="14"/>
    </row>
    <row r="440" ht="12.75">
      <c r="G440" s="14"/>
    </row>
    <row r="441" ht="12.75">
      <c r="G441" s="14"/>
    </row>
    <row r="442" ht="12.75">
      <c r="G442" s="14"/>
    </row>
    <row r="443" ht="12.75">
      <c r="G443" s="14"/>
    </row>
    <row r="444" ht="12.75">
      <c r="G444" s="14"/>
    </row>
    <row r="445" ht="12.75">
      <c r="G445" s="14"/>
    </row>
    <row r="446" ht="12.75">
      <c r="G446" s="14"/>
    </row>
    <row r="447" ht="12.75">
      <c r="G447" s="14"/>
    </row>
    <row r="448" ht="12.75">
      <c r="G448" s="14"/>
    </row>
    <row r="449" ht="12.75">
      <c r="G449" s="14"/>
    </row>
    <row r="450" ht="12.75">
      <c r="G450" s="14"/>
    </row>
    <row r="451" ht="12.75">
      <c r="G451" s="14"/>
    </row>
    <row r="452" ht="12.75">
      <c r="G452" s="14"/>
    </row>
    <row r="453" ht="12.75">
      <c r="G453" s="14"/>
    </row>
    <row r="454" ht="12.75">
      <c r="G454" s="14"/>
    </row>
    <row r="455" ht="12.75">
      <c r="G455" s="14"/>
    </row>
    <row r="456" ht="12.75">
      <c r="G456" s="14"/>
    </row>
    <row r="457" ht="12.75">
      <c r="G457" s="14"/>
    </row>
    <row r="458" ht="12.75">
      <c r="G458" s="14"/>
    </row>
    <row r="459" ht="12.75">
      <c r="G459" s="14"/>
    </row>
    <row r="460" ht="12.75">
      <c r="G460" s="14"/>
    </row>
    <row r="461" ht="12.75">
      <c r="G461" s="14"/>
    </row>
    <row r="462" ht="12.75">
      <c r="G462" s="14"/>
    </row>
    <row r="463" ht="12.75">
      <c r="G463" s="14"/>
    </row>
    <row r="464" ht="12.75">
      <c r="G464" s="14"/>
    </row>
    <row r="465" ht="12.75">
      <c r="G465" s="14"/>
    </row>
    <row r="466" ht="12.75">
      <c r="G466" s="14"/>
    </row>
    <row r="467" ht="12.75">
      <c r="G467" s="14"/>
    </row>
    <row r="468" ht="12.75">
      <c r="G468" s="14"/>
    </row>
    <row r="469" ht="12.75">
      <c r="G469" s="14"/>
    </row>
    <row r="470" ht="12.75">
      <c r="G470" s="14"/>
    </row>
    <row r="471" ht="12.75">
      <c r="G471" s="14"/>
    </row>
    <row r="472" ht="12.75">
      <c r="G472" s="14"/>
    </row>
    <row r="473" ht="12.75">
      <c r="G473" s="14"/>
    </row>
    <row r="474" ht="12.75">
      <c r="G474" s="14"/>
    </row>
    <row r="475" ht="12.75">
      <c r="G475" s="14"/>
    </row>
    <row r="476" ht="12.75">
      <c r="G476" s="14"/>
    </row>
    <row r="477" ht="12.75">
      <c r="G477" s="14"/>
    </row>
    <row r="478" ht="12.75">
      <c r="G478" s="14"/>
    </row>
    <row r="479" ht="12.75">
      <c r="G479" s="14"/>
    </row>
    <row r="480" ht="12.75">
      <c r="G480" s="14"/>
    </row>
    <row r="481" ht="12.75">
      <c r="G481" s="14"/>
    </row>
    <row r="482" ht="12.75">
      <c r="G482" s="14"/>
    </row>
    <row r="483" ht="12.75">
      <c r="G483" s="14"/>
    </row>
    <row r="484" ht="12.75">
      <c r="G484" s="14"/>
    </row>
    <row r="485" ht="12.75">
      <c r="G485" s="14"/>
    </row>
    <row r="486" ht="12.75">
      <c r="G486" s="14"/>
    </row>
    <row r="487" ht="12.75">
      <c r="G487" s="14"/>
    </row>
    <row r="488" ht="12.75">
      <c r="G488" s="14"/>
    </row>
    <row r="489" ht="12.75">
      <c r="G489" s="14"/>
    </row>
    <row r="490" ht="12.75">
      <c r="G490" s="14"/>
    </row>
    <row r="491" ht="12.75">
      <c r="G491" s="14"/>
    </row>
    <row r="492" ht="12.75">
      <c r="G492" s="14"/>
    </row>
    <row r="493" ht="12.75">
      <c r="G493" s="14"/>
    </row>
    <row r="494" ht="12.75">
      <c r="G494" s="14"/>
    </row>
    <row r="495" ht="12.75">
      <c r="G495" s="14"/>
    </row>
    <row r="496" ht="12.75">
      <c r="G496" s="14"/>
    </row>
    <row r="497" ht="12.75">
      <c r="G497" s="14"/>
    </row>
    <row r="498" ht="12.75">
      <c r="G498" s="14"/>
    </row>
    <row r="499" ht="12.75">
      <c r="G499" s="14"/>
    </row>
    <row r="500" ht="12.75">
      <c r="G500" s="14"/>
    </row>
    <row r="501" ht="12.75">
      <c r="G501" s="14"/>
    </row>
    <row r="502" ht="12.75">
      <c r="G502" s="14"/>
    </row>
    <row r="503" ht="12.75">
      <c r="G503" s="14"/>
    </row>
    <row r="504" ht="12.75">
      <c r="G504" s="14"/>
    </row>
    <row r="505" ht="12.75">
      <c r="G505" s="14"/>
    </row>
    <row r="506" ht="12.75">
      <c r="G506" s="14"/>
    </row>
    <row r="507" ht="12.75">
      <c r="G507" s="14"/>
    </row>
    <row r="508" ht="12.75">
      <c r="G508" s="14"/>
    </row>
    <row r="509" ht="12.75">
      <c r="G509" s="14"/>
    </row>
    <row r="510" ht="12.75">
      <c r="G510" s="14"/>
    </row>
    <row r="511" ht="12.75">
      <c r="G511" s="14"/>
    </row>
    <row r="512" ht="12.75">
      <c r="G512" s="14"/>
    </row>
    <row r="513" ht="12.75">
      <c r="G513" s="14"/>
    </row>
    <row r="514" ht="12.75">
      <c r="G514" s="14"/>
    </row>
    <row r="515" ht="12.75">
      <c r="G515" s="14"/>
    </row>
    <row r="516" ht="12.75">
      <c r="G516" s="14"/>
    </row>
    <row r="517" ht="12.75">
      <c r="G517" s="14"/>
    </row>
    <row r="518" ht="12.75">
      <c r="G518" s="14"/>
    </row>
    <row r="519" ht="12.75">
      <c r="G519" s="14"/>
    </row>
    <row r="520" ht="12.75">
      <c r="G520" s="14"/>
    </row>
    <row r="521" ht="12.75">
      <c r="G521" s="14"/>
    </row>
    <row r="522" ht="12.75">
      <c r="G522" s="14"/>
    </row>
    <row r="523" ht="12.75">
      <c r="G523" s="14"/>
    </row>
    <row r="524" ht="12.75">
      <c r="G524" s="14"/>
    </row>
    <row r="525" ht="12.75">
      <c r="G525" s="14"/>
    </row>
    <row r="526" ht="12.75">
      <c r="G526" s="14"/>
    </row>
    <row r="527" ht="12.75">
      <c r="G527" s="14"/>
    </row>
    <row r="528" ht="12.75">
      <c r="G528" s="14"/>
    </row>
    <row r="529" ht="12.75">
      <c r="G529" s="14"/>
    </row>
    <row r="530" ht="12.75">
      <c r="G530" s="14"/>
    </row>
    <row r="531" ht="12.75">
      <c r="G531" s="14"/>
    </row>
    <row r="532" ht="12.75">
      <c r="G532" s="14"/>
    </row>
    <row r="533" ht="12.75">
      <c r="G533" s="14"/>
    </row>
    <row r="534" ht="12.75">
      <c r="G534" s="14"/>
    </row>
    <row r="535" ht="12.75">
      <c r="G535" s="14"/>
    </row>
    <row r="536" ht="12.75">
      <c r="G536" s="14"/>
    </row>
    <row r="537" ht="12.75">
      <c r="G537" s="14"/>
    </row>
    <row r="538" ht="12.75">
      <c r="G538" s="14"/>
    </row>
    <row r="539" ht="12.75">
      <c r="G539" s="14"/>
    </row>
    <row r="540" ht="12.75">
      <c r="G540" s="14"/>
    </row>
    <row r="541" ht="12.75">
      <c r="G541" s="14"/>
    </row>
    <row r="542" ht="12.75">
      <c r="G542" s="14"/>
    </row>
    <row r="543" ht="12.75">
      <c r="G543" s="14"/>
    </row>
    <row r="544" ht="12.75">
      <c r="G544" s="14"/>
    </row>
    <row r="545" ht="12.75">
      <c r="G545" s="14"/>
    </row>
    <row r="546" ht="12.75">
      <c r="G546" s="14"/>
    </row>
    <row r="547" ht="12.75">
      <c r="G547" s="14"/>
    </row>
    <row r="548" ht="12.75">
      <c r="G548" s="14"/>
    </row>
    <row r="549" ht="12.75">
      <c r="G549" s="14"/>
    </row>
    <row r="550" ht="12.75">
      <c r="G550" s="14"/>
    </row>
    <row r="551" ht="12.75">
      <c r="G551" s="14"/>
    </row>
    <row r="552" ht="12.75">
      <c r="G552" s="14"/>
    </row>
    <row r="553" ht="12.75">
      <c r="G553" s="14"/>
    </row>
    <row r="554" ht="12.75">
      <c r="G554" s="14"/>
    </row>
    <row r="555" ht="12.75">
      <c r="G555" s="14"/>
    </row>
    <row r="556" ht="12.75">
      <c r="G556" s="14"/>
    </row>
    <row r="557" ht="12.75">
      <c r="G557" s="14"/>
    </row>
    <row r="558" ht="12.75">
      <c r="G558" s="14"/>
    </row>
    <row r="559" ht="12.75">
      <c r="G559" s="14"/>
    </row>
    <row r="560" ht="12.75">
      <c r="G560" s="14"/>
    </row>
    <row r="561" ht="12.75">
      <c r="G561" s="14"/>
    </row>
    <row r="562" ht="12.75">
      <c r="G562" s="14"/>
    </row>
    <row r="563" ht="12.75">
      <c r="G563" s="14"/>
    </row>
    <row r="564" ht="12.75">
      <c r="G564" s="14"/>
    </row>
    <row r="565" ht="12.75">
      <c r="G565" s="14"/>
    </row>
    <row r="566" ht="12.75">
      <c r="G566" s="14"/>
    </row>
    <row r="567" ht="12.75">
      <c r="G567" s="14"/>
    </row>
    <row r="568" ht="12.75">
      <c r="G568" s="14"/>
    </row>
    <row r="569" ht="12.75">
      <c r="G569" s="14"/>
    </row>
    <row r="570" ht="12.75">
      <c r="G570" s="14"/>
    </row>
    <row r="571" ht="12.75">
      <c r="G571" s="14"/>
    </row>
    <row r="572" ht="12.75">
      <c r="G572" s="14"/>
    </row>
    <row r="573" ht="12.75">
      <c r="G573" s="14"/>
    </row>
    <row r="574" ht="12.75">
      <c r="G574" s="14"/>
    </row>
    <row r="575" ht="12.75">
      <c r="G575" s="14"/>
    </row>
    <row r="576" ht="12.75">
      <c r="G576" s="14"/>
    </row>
    <row r="577" ht="12.75">
      <c r="G577" s="14"/>
    </row>
    <row r="578" ht="12.75">
      <c r="G578" s="14"/>
    </row>
    <row r="579" ht="12.75">
      <c r="G579" s="14"/>
    </row>
    <row r="580" ht="12.75">
      <c r="G580" s="14"/>
    </row>
    <row r="581" ht="12.75">
      <c r="G581" s="14"/>
    </row>
    <row r="582" ht="12.75">
      <c r="G582" s="14"/>
    </row>
    <row r="583" ht="12.75">
      <c r="G583" s="14"/>
    </row>
    <row r="584" ht="12.75">
      <c r="G584" s="14"/>
    </row>
    <row r="585" ht="12.75">
      <c r="G585" s="14"/>
    </row>
    <row r="586" ht="12.75">
      <c r="G586" s="14"/>
    </row>
    <row r="587" ht="12.75">
      <c r="G587" s="14"/>
    </row>
    <row r="588" ht="12.75">
      <c r="G588" s="14"/>
    </row>
    <row r="589" ht="12.75">
      <c r="G589" s="14"/>
    </row>
    <row r="590" ht="12.75">
      <c r="G590" s="14"/>
    </row>
    <row r="591" ht="12.75">
      <c r="G591" s="14"/>
    </row>
    <row r="592" ht="12.75">
      <c r="G592" s="14"/>
    </row>
    <row r="593" ht="12.75">
      <c r="G593" s="14"/>
    </row>
    <row r="594" ht="12.75">
      <c r="G594" s="14"/>
    </row>
    <row r="595" ht="12.75">
      <c r="G595" s="14"/>
    </row>
    <row r="596" ht="12.75">
      <c r="G596" s="14"/>
    </row>
    <row r="597" ht="12.75">
      <c r="G597" s="14"/>
    </row>
    <row r="598" ht="12.75">
      <c r="G598" s="14"/>
    </row>
    <row r="599" ht="12.75">
      <c r="G599" s="14"/>
    </row>
    <row r="600" ht="12.75">
      <c r="G600" s="14"/>
    </row>
    <row r="601" ht="12.75">
      <c r="G601" s="14"/>
    </row>
    <row r="602" ht="12.75">
      <c r="G602" s="14"/>
    </row>
    <row r="603" ht="12.75">
      <c r="G603" s="14"/>
    </row>
    <row r="604" ht="12.75">
      <c r="G604" s="14"/>
    </row>
    <row r="605" ht="12.75">
      <c r="G605" s="14"/>
    </row>
    <row r="606" ht="12.75">
      <c r="G606" s="14"/>
    </row>
    <row r="607" ht="12.75">
      <c r="G607" s="14"/>
    </row>
    <row r="608" ht="12.75">
      <c r="G608" s="14"/>
    </row>
    <row r="609" ht="12.75">
      <c r="G609" s="14"/>
    </row>
    <row r="610" ht="12.75">
      <c r="G610" s="14"/>
    </row>
    <row r="611" ht="12.75">
      <c r="G611" s="14"/>
    </row>
    <row r="612" ht="12.75">
      <c r="G612" s="14"/>
    </row>
    <row r="613" ht="12.75">
      <c r="G613" s="14"/>
    </row>
    <row r="614" ht="12.75">
      <c r="G614" s="14"/>
    </row>
    <row r="615" ht="12.75">
      <c r="G615" s="14"/>
    </row>
    <row r="616" ht="12.75">
      <c r="G616" s="14"/>
    </row>
    <row r="617" ht="12.75">
      <c r="G617" s="14"/>
    </row>
    <row r="618" ht="12.75">
      <c r="G618" s="14"/>
    </row>
    <row r="619" ht="12.75">
      <c r="G619" s="14"/>
    </row>
    <row r="620" ht="12.75">
      <c r="G620" s="14"/>
    </row>
    <row r="621" ht="12.75">
      <c r="G621" s="14"/>
    </row>
    <row r="622" ht="12.75">
      <c r="G622" s="14"/>
    </row>
    <row r="623" ht="12.75">
      <c r="G623" s="14"/>
    </row>
    <row r="624" ht="12.75">
      <c r="G624" s="14"/>
    </row>
    <row r="625" ht="12.75">
      <c r="G625" s="14"/>
    </row>
    <row r="626" ht="12.75">
      <c r="G626" s="14"/>
    </row>
    <row r="627" ht="12.75">
      <c r="G627" s="14"/>
    </row>
    <row r="628" ht="12.75">
      <c r="G628" s="14"/>
    </row>
    <row r="629" ht="12.75">
      <c r="G629" s="14"/>
    </row>
    <row r="630" ht="12.75">
      <c r="G630" s="14"/>
    </row>
    <row r="631" ht="12.75">
      <c r="G631" s="14"/>
    </row>
    <row r="632" ht="12.75">
      <c r="G632" s="14"/>
    </row>
    <row r="633" ht="12.75">
      <c r="G633" s="14"/>
    </row>
    <row r="634" ht="12.75">
      <c r="G634" s="14"/>
    </row>
    <row r="635" ht="12.75">
      <c r="G635" s="14"/>
    </row>
    <row r="636" ht="12.75">
      <c r="G636" s="14"/>
    </row>
    <row r="637" ht="12.75">
      <c r="G637" s="14"/>
    </row>
    <row r="638" ht="12.75">
      <c r="G638" s="14"/>
    </row>
    <row r="639" ht="12.75">
      <c r="G639" s="14"/>
    </row>
    <row r="640" ht="12.75">
      <c r="G640" s="14"/>
    </row>
    <row r="641" ht="12.75">
      <c r="G641" s="14"/>
    </row>
    <row r="642" ht="12.75">
      <c r="G642" s="14"/>
    </row>
    <row r="643" ht="12.75">
      <c r="G643" s="14"/>
    </row>
    <row r="644" ht="12.75">
      <c r="G644" s="14"/>
    </row>
    <row r="645" ht="12.75">
      <c r="G645" s="14"/>
    </row>
    <row r="646" ht="12.75">
      <c r="G646" s="14"/>
    </row>
    <row r="647" ht="12.75">
      <c r="G647" s="14"/>
    </row>
    <row r="648" ht="12.75">
      <c r="G648" s="14"/>
    </row>
    <row r="649" ht="12.75">
      <c r="G649" s="14"/>
    </row>
    <row r="650" ht="12.75">
      <c r="G650" s="14"/>
    </row>
    <row r="651" ht="12.75">
      <c r="G651" s="14"/>
    </row>
    <row r="652" ht="12.75">
      <c r="G652" s="14"/>
    </row>
    <row r="653" ht="12.75">
      <c r="G653" s="14"/>
    </row>
    <row r="654" ht="12.75">
      <c r="G654" s="14"/>
    </row>
    <row r="655" ht="12.75">
      <c r="G655" s="14"/>
    </row>
    <row r="656" ht="12.75">
      <c r="G656" s="14"/>
    </row>
    <row r="657" ht="12.75">
      <c r="G657" s="14"/>
    </row>
    <row r="658" ht="12.75">
      <c r="G658" s="14"/>
    </row>
    <row r="659" ht="12.75">
      <c r="G659" s="14"/>
    </row>
    <row r="660" ht="12.75">
      <c r="G660" s="14"/>
    </row>
    <row r="661" ht="12.75">
      <c r="G661" s="14"/>
    </row>
    <row r="662" ht="12.75">
      <c r="G662" s="14"/>
    </row>
    <row r="663" ht="12.75">
      <c r="G663" s="14"/>
    </row>
    <row r="664" ht="12.75">
      <c r="G664" s="14"/>
    </row>
    <row r="665" ht="12.75">
      <c r="G665" s="14"/>
    </row>
    <row r="666" ht="12.75">
      <c r="G666" s="14"/>
    </row>
    <row r="667" ht="12.75">
      <c r="G667" s="14"/>
    </row>
    <row r="668" ht="12.75">
      <c r="G668" s="14"/>
    </row>
    <row r="669" ht="12.75">
      <c r="G669" s="14"/>
    </row>
    <row r="670" ht="12.75">
      <c r="G670" s="14"/>
    </row>
    <row r="671" ht="12.75">
      <c r="G671" s="14"/>
    </row>
    <row r="672" ht="12.75">
      <c r="G672" s="14"/>
    </row>
    <row r="673" ht="12.75">
      <c r="G673" s="14"/>
    </row>
    <row r="674" ht="12.75">
      <c r="G674" s="14"/>
    </row>
    <row r="675" ht="12.75">
      <c r="G675" s="14"/>
    </row>
    <row r="676" ht="12.75">
      <c r="G676" s="14"/>
    </row>
    <row r="677" ht="12.75">
      <c r="G677" s="14"/>
    </row>
    <row r="678" ht="12.75">
      <c r="G678" s="14"/>
    </row>
    <row r="679" ht="12.75">
      <c r="G679" s="14"/>
    </row>
    <row r="680" ht="12.75">
      <c r="G680" s="14"/>
    </row>
    <row r="681" ht="12.75">
      <c r="G681" s="14"/>
    </row>
    <row r="682" ht="12.75">
      <c r="G682" s="14"/>
    </row>
    <row r="683" ht="12.75">
      <c r="G683" s="14"/>
    </row>
    <row r="684" ht="12.75">
      <c r="G684" s="14"/>
    </row>
    <row r="685" ht="12.75">
      <c r="G685" s="14"/>
    </row>
    <row r="686" ht="12.75">
      <c r="G686" s="14"/>
    </row>
    <row r="687" ht="12.75">
      <c r="G687" s="14"/>
    </row>
    <row r="688" ht="12.75">
      <c r="G688" s="14"/>
    </row>
    <row r="689" ht="12.75">
      <c r="G689" s="14"/>
    </row>
    <row r="690" ht="12.75">
      <c r="G690" s="14"/>
    </row>
    <row r="691" ht="12.75">
      <c r="G691" s="14"/>
    </row>
    <row r="692" ht="12.75">
      <c r="G692" s="14"/>
    </row>
    <row r="693" ht="12.75">
      <c r="G693" s="14"/>
    </row>
    <row r="694" ht="12.75">
      <c r="G694" s="14"/>
    </row>
    <row r="695" ht="12.75">
      <c r="G695" s="14"/>
    </row>
    <row r="696" ht="12.75">
      <c r="G696" s="14"/>
    </row>
    <row r="697" ht="12.75">
      <c r="G697" s="14"/>
    </row>
    <row r="698" ht="12.75">
      <c r="G698" s="14"/>
    </row>
    <row r="699" ht="12.75">
      <c r="G699" s="14"/>
    </row>
    <row r="700" ht="12.75">
      <c r="G700" s="14"/>
    </row>
    <row r="701" ht="12.75">
      <c r="G701" s="14"/>
    </row>
    <row r="702" ht="12.75">
      <c r="G702" s="14"/>
    </row>
    <row r="703" ht="12.75">
      <c r="G703" s="14"/>
    </row>
    <row r="704" ht="12.75">
      <c r="G704" s="14"/>
    </row>
    <row r="705" ht="12.75">
      <c r="G705" s="14"/>
    </row>
    <row r="706" ht="12.75">
      <c r="G706" s="14"/>
    </row>
    <row r="707" ht="12.75">
      <c r="G707" s="14"/>
    </row>
    <row r="708" ht="12.75">
      <c r="G708" s="14"/>
    </row>
    <row r="709" ht="12.75">
      <c r="G709" s="14"/>
    </row>
    <row r="710" ht="12.75">
      <c r="G710" s="14"/>
    </row>
    <row r="711" ht="12.75">
      <c r="G711" s="14"/>
    </row>
    <row r="712" ht="12.75">
      <c r="G712" s="14"/>
    </row>
    <row r="713" ht="12.75">
      <c r="G713" s="14"/>
    </row>
    <row r="714" ht="12.75">
      <c r="G714" s="14"/>
    </row>
    <row r="715" ht="12.75">
      <c r="G715" s="14"/>
    </row>
    <row r="716" ht="12.75">
      <c r="G716" s="14"/>
    </row>
    <row r="717" ht="12.75">
      <c r="G717" s="14"/>
    </row>
    <row r="718" ht="12.75">
      <c r="G718" s="14"/>
    </row>
    <row r="719" ht="12.75">
      <c r="G719" s="14"/>
    </row>
    <row r="720" ht="12.75">
      <c r="G720" s="14"/>
    </row>
    <row r="721" ht="12.75">
      <c r="G721" s="14"/>
    </row>
    <row r="722" ht="12.75">
      <c r="G722" s="14"/>
    </row>
    <row r="723" ht="12.75">
      <c r="G723" s="14"/>
    </row>
    <row r="724" ht="12.75">
      <c r="G724" s="14"/>
    </row>
    <row r="725" ht="12.75">
      <c r="G725" s="14"/>
    </row>
    <row r="726" ht="12.75">
      <c r="G726" s="14"/>
    </row>
    <row r="727" ht="12.75">
      <c r="G727" s="14"/>
    </row>
    <row r="728" ht="12.75">
      <c r="G728" s="14"/>
    </row>
    <row r="729" ht="12.75">
      <c r="G729" s="14"/>
    </row>
    <row r="730" ht="12.75">
      <c r="G730" s="14"/>
    </row>
    <row r="731" ht="12.75">
      <c r="G731" s="14"/>
    </row>
    <row r="732" ht="12.75">
      <c r="G732" s="14"/>
    </row>
    <row r="733" ht="12.75">
      <c r="G733" s="14"/>
    </row>
    <row r="734" ht="12.75">
      <c r="G734" s="14"/>
    </row>
    <row r="735" ht="12.75">
      <c r="G735" s="14"/>
    </row>
    <row r="736" ht="12.75">
      <c r="G736" s="14"/>
    </row>
    <row r="737" ht="12.75">
      <c r="G737" s="14"/>
    </row>
    <row r="738" ht="12.75">
      <c r="G738" s="14"/>
    </row>
    <row r="739" ht="12.75">
      <c r="G739" s="14"/>
    </row>
    <row r="740" ht="12.75">
      <c r="G740" s="14"/>
    </row>
    <row r="741" ht="12.75">
      <c r="G741" s="14"/>
    </row>
    <row r="742" ht="12.75">
      <c r="G742" s="14"/>
    </row>
    <row r="743" ht="12.75">
      <c r="G743" s="14"/>
    </row>
    <row r="744" ht="12.75">
      <c r="G744" s="14"/>
    </row>
    <row r="745" ht="12.75">
      <c r="G745" s="14"/>
    </row>
    <row r="746" ht="12.75">
      <c r="G746" s="14"/>
    </row>
    <row r="747" ht="12.75">
      <c r="G747" s="14"/>
    </row>
    <row r="748" ht="12.75">
      <c r="G748" s="14"/>
    </row>
    <row r="749" ht="12.75">
      <c r="G749" s="14"/>
    </row>
    <row r="750" ht="12.75">
      <c r="G750" s="14"/>
    </row>
    <row r="751" ht="12.75">
      <c r="G751" s="14"/>
    </row>
    <row r="752" ht="12.75">
      <c r="G752" s="14"/>
    </row>
    <row r="753" ht="12.75">
      <c r="G753" s="14"/>
    </row>
    <row r="754" ht="12.75">
      <c r="G754" s="14"/>
    </row>
    <row r="755" ht="12.75">
      <c r="G755" s="14"/>
    </row>
    <row r="756" ht="12.75">
      <c r="G756" s="14"/>
    </row>
    <row r="757" ht="12.75">
      <c r="G757" s="14"/>
    </row>
    <row r="758" ht="12.75">
      <c r="G758" s="14"/>
    </row>
    <row r="759" ht="12.75">
      <c r="G759" s="14"/>
    </row>
    <row r="760" ht="12.75">
      <c r="G760" s="14"/>
    </row>
    <row r="761" ht="12.75">
      <c r="G761" s="14"/>
    </row>
    <row r="762" ht="12.75">
      <c r="G762" s="14"/>
    </row>
    <row r="763" ht="12.75">
      <c r="G763" s="14"/>
    </row>
    <row r="764" ht="12.75">
      <c r="G764" s="14"/>
    </row>
    <row r="765" ht="12.75">
      <c r="G765" s="14"/>
    </row>
    <row r="766" ht="12.75">
      <c r="G766" s="14"/>
    </row>
    <row r="767" ht="12.75">
      <c r="G767" s="14"/>
    </row>
    <row r="768" ht="12.75">
      <c r="G768" s="14"/>
    </row>
    <row r="769" ht="12.75">
      <c r="G769" s="14"/>
    </row>
    <row r="770" ht="12.75">
      <c r="G770" s="14"/>
    </row>
    <row r="771" ht="12.75">
      <c r="G771" s="14"/>
    </row>
    <row r="772" ht="12.75">
      <c r="G772" s="14"/>
    </row>
    <row r="773" ht="12.75">
      <c r="G773" s="14"/>
    </row>
    <row r="774" ht="12.75">
      <c r="G774" s="14"/>
    </row>
    <row r="775" ht="12.75">
      <c r="G775" s="14"/>
    </row>
    <row r="776" ht="12.75">
      <c r="G776" s="14"/>
    </row>
    <row r="777" ht="12.75">
      <c r="G777" s="14"/>
    </row>
    <row r="778" ht="12.75">
      <c r="G778" s="14"/>
    </row>
    <row r="779" ht="12.75">
      <c r="G779" s="14"/>
    </row>
    <row r="780" ht="12.75">
      <c r="G780" s="14"/>
    </row>
    <row r="781" ht="12.75">
      <c r="G781" s="14"/>
    </row>
    <row r="782" ht="12.75">
      <c r="G782" s="14"/>
    </row>
    <row r="783" ht="12.75">
      <c r="G783" s="14"/>
    </row>
    <row r="784" ht="12.75">
      <c r="G784" s="14"/>
    </row>
    <row r="785" ht="12.75">
      <c r="G785" s="14"/>
    </row>
    <row r="786" ht="12.75">
      <c r="G786" s="14"/>
    </row>
    <row r="787" ht="12.75">
      <c r="G787" s="14"/>
    </row>
    <row r="788" ht="12.75">
      <c r="G788" s="14"/>
    </row>
    <row r="789" ht="12.75">
      <c r="G789" s="14"/>
    </row>
    <row r="790" ht="12.75">
      <c r="G790" s="14"/>
    </row>
    <row r="791" ht="12.75">
      <c r="G791" s="14"/>
    </row>
    <row r="792" ht="12.75">
      <c r="G792" s="14"/>
    </row>
    <row r="793" ht="12.75">
      <c r="G793" s="14"/>
    </row>
    <row r="794" ht="12.75">
      <c r="G794" s="14"/>
    </row>
  </sheetData>
  <sheetProtection password="DDD9" sheet="1" objects="1" scenarios="1"/>
  <mergeCells count="1">
    <mergeCell ref="B1:D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30"/>
  <sheetViews>
    <sheetView workbookViewId="0" topLeftCell="A1">
      <selection activeCell="B1" sqref="B1:D1"/>
    </sheetView>
  </sheetViews>
  <sheetFormatPr defaultColWidth="9.140625" defaultRowHeight="12.75"/>
  <cols>
    <col min="1" max="1" width="9.140625" style="5" customWidth="1"/>
    <col min="2" max="2" width="38.57421875" style="4" customWidth="1"/>
    <col min="3" max="3" width="3.57421875" style="4" customWidth="1"/>
    <col min="4" max="4" width="12.421875" style="4" customWidth="1"/>
    <col min="5" max="5" width="13.8515625" style="5" customWidth="1"/>
    <col min="6" max="6" width="3.28125" style="5" customWidth="1"/>
    <col min="7" max="7" width="13.00390625" style="5" customWidth="1"/>
    <col min="8" max="16384" width="9.140625" style="5" customWidth="1"/>
  </cols>
  <sheetData>
    <row r="1" spans="2:6" ht="15.75">
      <c r="B1" s="159" t="s">
        <v>479</v>
      </c>
      <c r="C1" s="159"/>
      <c r="D1" s="159"/>
      <c r="E1" s="3"/>
      <c r="F1" s="2"/>
    </row>
    <row r="2" spans="2:6" ht="12.75">
      <c r="B2" s="15" t="s">
        <v>75</v>
      </c>
      <c r="C2" s="3"/>
      <c r="D2" s="3"/>
      <c r="E2" s="3"/>
      <c r="F2" s="2"/>
    </row>
    <row r="3" spans="2:6" ht="12.75">
      <c r="B3" s="15" t="s">
        <v>76</v>
      </c>
      <c r="C3" s="3"/>
      <c r="D3" s="3"/>
      <c r="E3" s="3"/>
      <c r="F3" s="2"/>
    </row>
    <row r="4" spans="2:6" ht="12.75">
      <c r="B4" s="3"/>
      <c r="C4" s="3"/>
      <c r="D4" s="3"/>
      <c r="E4" s="3"/>
      <c r="F4" s="2"/>
    </row>
    <row r="5" spans="2:6" ht="12.75">
      <c r="B5" s="1" t="s">
        <v>0</v>
      </c>
      <c r="C5" s="2"/>
      <c r="D5" s="2"/>
      <c r="E5" s="2"/>
      <c r="F5" s="2"/>
    </row>
    <row r="6" spans="2:6" ht="12.75">
      <c r="B6" s="1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4" ht="12.75">
      <c r="B8" s="1" t="s">
        <v>320</v>
      </c>
      <c r="C8" s="2"/>
      <c r="D8" s="2"/>
    </row>
    <row r="9" spans="2:4" ht="15">
      <c r="B9" s="10" t="s">
        <v>2</v>
      </c>
      <c r="C9" s="11"/>
      <c r="D9" s="3" t="s">
        <v>3</v>
      </c>
    </row>
    <row r="10" spans="2:4" ht="12.75">
      <c r="B10" s="11"/>
      <c r="C10" s="13"/>
      <c r="D10" s="12" t="s">
        <v>4</v>
      </c>
    </row>
    <row r="11" spans="1:6" ht="12.75">
      <c r="A11" s="5" t="s">
        <v>38</v>
      </c>
      <c r="B11" s="11" t="s">
        <v>6</v>
      </c>
      <c r="C11" s="13"/>
      <c r="D11" s="18">
        <f>'RUF WORK FOR ALL'!D11</f>
        <v>4882024</v>
      </c>
      <c r="E11" s="14"/>
      <c r="F11" s="14"/>
    </row>
    <row r="12" spans="1:7" ht="12.75">
      <c r="A12" s="5" t="s">
        <v>77</v>
      </c>
      <c r="B12" s="4" t="s">
        <v>6</v>
      </c>
      <c r="D12" s="18">
        <f>'RUF WORK FOR ALL'!D12</f>
        <v>40092808</v>
      </c>
      <c r="E12" s="14"/>
      <c r="G12" s="14"/>
    </row>
    <row r="13" spans="1:7" ht="12.75">
      <c r="A13" s="5" t="s">
        <v>217</v>
      </c>
      <c r="B13" s="4" t="s">
        <v>6</v>
      </c>
      <c r="D13" s="18">
        <f>'RUF WORK FOR ALL'!D13</f>
        <v>3877583</v>
      </c>
      <c r="E13" s="14"/>
      <c r="G13" s="14"/>
    </row>
    <row r="14" spans="1:7" ht="12.75">
      <c r="A14" s="5" t="s">
        <v>248</v>
      </c>
      <c r="B14" s="4" t="s">
        <v>6</v>
      </c>
      <c r="D14" s="18">
        <f>'RUF WORK FOR ALL'!D14</f>
        <v>26736383</v>
      </c>
      <c r="E14" s="14"/>
      <c r="G14" s="14"/>
    </row>
    <row r="15" spans="1:7" ht="12.75">
      <c r="A15" s="5" t="s">
        <v>275</v>
      </c>
      <c r="B15" s="4" t="s">
        <v>6</v>
      </c>
      <c r="D15" s="18">
        <f>'RUF WORK FOR ALL'!D15</f>
        <v>2529223</v>
      </c>
      <c r="E15" s="14"/>
      <c r="G15" s="14"/>
    </row>
    <row r="16" spans="1:7" ht="12.75">
      <c r="A16" s="5" t="s">
        <v>39</v>
      </c>
      <c r="B16" s="4" t="s">
        <v>6</v>
      </c>
      <c r="D16" s="18">
        <f>'RUF WORK FOR ALL'!D16</f>
        <v>1455650</v>
      </c>
      <c r="E16" s="14"/>
      <c r="G16" s="14"/>
    </row>
    <row r="17" spans="1:7" ht="12.75">
      <c r="A17" s="5" t="s">
        <v>36</v>
      </c>
      <c r="B17" s="4" t="s">
        <v>6</v>
      </c>
      <c r="D17" s="18">
        <f>'RUF WORK FOR ALL'!D17</f>
        <v>5818381</v>
      </c>
      <c r="E17" s="14"/>
      <c r="G17" s="14"/>
    </row>
    <row r="18" spans="1:7" ht="12.75">
      <c r="A18" s="5" t="s">
        <v>41</v>
      </c>
      <c r="B18" s="4" t="s">
        <v>6</v>
      </c>
      <c r="D18" s="47">
        <f>'RUF WORK FOR ALL'!D18</f>
        <v>-7885692</v>
      </c>
      <c r="E18" s="14">
        <f>SUM(D11:D18)</f>
        <v>77506360</v>
      </c>
      <c r="G18" s="14"/>
    </row>
    <row r="19" spans="4:7" ht="12.75">
      <c r="D19" s="18"/>
      <c r="E19" s="14"/>
      <c r="G19" s="14"/>
    </row>
    <row r="20" spans="1:7" ht="12.75">
      <c r="A20" s="5" t="s">
        <v>38</v>
      </c>
      <c r="B20" s="4" t="s">
        <v>218</v>
      </c>
      <c r="D20" s="18">
        <f>'RUF WORK FOR ALL'!D20</f>
        <v>-482116</v>
      </c>
      <c r="G20" s="14"/>
    </row>
    <row r="21" spans="1:7" ht="12.75">
      <c r="A21" s="5" t="s">
        <v>77</v>
      </c>
      <c r="B21" s="4" t="s">
        <v>7</v>
      </c>
      <c r="D21" s="18">
        <f>'RUF WORK FOR ALL'!D21</f>
        <v>831509</v>
      </c>
      <c r="G21" s="14"/>
    </row>
    <row r="22" spans="1:7" ht="12.75">
      <c r="A22" s="5" t="s">
        <v>217</v>
      </c>
      <c r="B22" s="4" t="s">
        <v>7</v>
      </c>
      <c r="D22" s="18">
        <f>'RUF WORK FOR ALL'!D22</f>
        <v>869424</v>
      </c>
      <c r="G22" s="14"/>
    </row>
    <row r="23" spans="1:7" ht="12.75">
      <c r="A23" s="5" t="s">
        <v>248</v>
      </c>
      <c r="B23" s="4" t="s">
        <v>7</v>
      </c>
      <c r="D23" s="18">
        <f>'RUF WORK FOR ALL'!D23</f>
        <v>4102173</v>
      </c>
      <c r="G23" s="14"/>
    </row>
    <row r="24" spans="1:7" ht="12.75">
      <c r="A24" s="5" t="s">
        <v>275</v>
      </c>
      <c r="B24" s="4" t="s">
        <v>7</v>
      </c>
      <c r="D24" s="18">
        <f>'RUF WORK FOR ALL'!D24</f>
        <v>811493</v>
      </c>
      <c r="G24" s="14"/>
    </row>
    <row r="25" spans="1:7" ht="12.75">
      <c r="A25" s="5" t="s">
        <v>39</v>
      </c>
      <c r="B25" s="4" t="s">
        <v>7</v>
      </c>
      <c r="D25" s="18">
        <f>'RUF WORK FOR ALL'!D25</f>
        <v>4090027</v>
      </c>
      <c r="G25" s="14"/>
    </row>
    <row r="26" spans="1:7" ht="12.75">
      <c r="A26" s="5" t="s">
        <v>36</v>
      </c>
      <c r="B26" s="4" t="s">
        <v>7</v>
      </c>
      <c r="D26" s="18">
        <f>'RUF WORK FOR ALL'!D26</f>
        <v>2144027</v>
      </c>
      <c r="G26" s="14"/>
    </row>
    <row r="27" spans="1:7" ht="12.75">
      <c r="A27" s="5" t="s">
        <v>41</v>
      </c>
      <c r="B27" s="4" t="s">
        <v>7</v>
      </c>
      <c r="D27" s="47">
        <f>'RUF WORK FOR ALL'!D27</f>
        <v>655084</v>
      </c>
      <c r="E27" s="14">
        <f>SUM(D20:D27)</f>
        <v>13021621</v>
      </c>
      <c r="G27" s="14"/>
    </row>
    <row r="28" spans="4:7" ht="12.75">
      <c r="D28" s="18"/>
      <c r="G28" s="14"/>
    </row>
    <row r="29" spans="2:7" ht="12.75">
      <c r="B29" s="1" t="s">
        <v>400</v>
      </c>
      <c r="C29" s="2"/>
      <c r="D29" s="18"/>
      <c r="G29" s="14"/>
    </row>
    <row r="30" spans="2:7" ht="15">
      <c r="B30" s="10" t="s">
        <v>2</v>
      </c>
      <c r="C30" s="11"/>
      <c r="D30" s="12" t="s">
        <v>3</v>
      </c>
      <c r="G30" s="14"/>
    </row>
    <row r="31" spans="2:7" ht="12.75">
      <c r="B31" s="11"/>
      <c r="C31" s="13"/>
      <c r="D31" s="12" t="s">
        <v>4</v>
      </c>
      <c r="G31" s="14"/>
    </row>
    <row r="32" spans="1:7" ht="12.75">
      <c r="A32" s="5" t="s">
        <v>36</v>
      </c>
      <c r="B32" s="4" t="s">
        <v>461</v>
      </c>
      <c r="D32" s="47">
        <f>'RUF WORK FOR ALL'!D41</f>
        <v>419000</v>
      </c>
      <c r="E32" s="14">
        <f>D32</f>
        <v>419000</v>
      </c>
      <c r="G32" s="14"/>
    </row>
    <row r="33" spans="1:7" ht="12.75">
      <c r="A33" s="5" t="s">
        <v>39</v>
      </c>
      <c r="B33" s="4" t="s">
        <v>449</v>
      </c>
      <c r="D33" s="18">
        <f>'RUF WORK FOR ALL'!D37</f>
        <v>70000</v>
      </c>
      <c r="E33" s="14"/>
      <c r="G33" s="14"/>
    </row>
    <row r="34" spans="1:7" ht="12.75">
      <c r="A34" s="5" t="s">
        <v>77</v>
      </c>
      <c r="B34" s="4" t="s">
        <v>9</v>
      </c>
      <c r="D34" s="47">
        <f>'RUF WORK FOR ALL'!D34</f>
        <v>30000</v>
      </c>
      <c r="E34" s="14">
        <f>SUM(D33:D34)</f>
        <v>100000</v>
      </c>
      <c r="G34" s="14"/>
    </row>
    <row r="35" spans="1:7" ht="12.75">
      <c r="A35" s="5" t="s">
        <v>77</v>
      </c>
      <c r="B35" s="4" t="s">
        <v>10</v>
      </c>
      <c r="D35" s="18">
        <f>'RUF WORK FOR ALL'!D35</f>
        <v>24314</v>
      </c>
      <c r="G35" s="14"/>
    </row>
    <row r="36" spans="1:7" ht="12.75">
      <c r="A36" s="5" t="s">
        <v>39</v>
      </c>
      <c r="B36" s="4" t="s">
        <v>10</v>
      </c>
      <c r="D36" s="18">
        <f>'RUF WORK FOR ALL'!D38</f>
        <v>18282</v>
      </c>
      <c r="E36" s="14"/>
      <c r="G36" s="14"/>
    </row>
    <row r="37" spans="1:7" ht="12.75">
      <c r="A37" s="5" t="s">
        <v>41</v>
      </c>
      <c r="B37" s="4" t="s">
        <v>10</v>
      </c>
      <c r="D37" s="47">
        <f>'RUF WORK FOR ALL'!D43</f>
        <v>3353</v>
      </c>
      <c r="E37" s="14">
        <f>SUM(D35:D37)</f>
        <v>45949</v>
      </c>
      <c r="G37" s="14"/>
    </row>
    <row r="38" spans="1:7" ht="12.75">
      <c r="A38" s="5" t="s">
        <v>77</v>
      </c>
      <c r="B38" s="4" t="s">
        <v>11</v>
      </c>
      <c r="D38" s="18">
        <f>'RUF WORK FOR ALL'!D36</f>
        <v>1639809</v>
      </c>
      <c r="G38" s="14"/>
    </row>
    <row r="39" spans="1:7" ht="12.75">
      <c r="A39" s="5" t="s">
        <v>39</v>
      </c>
      <c r="B39" s="4" t="s">
        <v>11</v>
      </c>
      <c r="D39" s="18">
        <f>'RUF WORK FOR ALL'!D39</f>
        <v>1058893</v>
      </c>
      <c r="G39" s="14"/>
    </row>
    <row r="40" spans="1:7" ht="12.75">
      <c r="A40" s="5" t="s">
        <v>36</v>
      </c>
      <c r="B40" s="4" t="s">
        <v>11</v>
      </c>
      <c r="D40" s="18">
        <f>'RUF WORK FOR ALL'!D42</f>
        <v>49885</v>
      </c>
      <c r="E40" s="14"/>
      <c r="G40" s="14"/>
    </row>
    <row r="41" spans="1:7" ht="12.75">
      <c r="A41" s="5" t="s">
        <v>41</v>
      </c>
      <c r="B41" s="4" t="s">
        <v>11</v>
      </c>
      <c r="D41" s="47">
        <f>'RUF WORK FOR ALL'!D44</f>
        <v>279636</v>
      </c>
      <c r="E41" s="14">
        <f>SUM(D38:D41)</f>
        <v>3028223</v>
      </c>
      <c r="G41" s="14"/>
    </row>
    <row r="42" spans="1:7" ht="12.75">
      <c r="A42" s="5" t="s">
        <v>39</v>
      </c>
      <c r="B42" s="4" t="s">
        <v>348</v>
      </c>
      <c r="D42" s="18">
        <f>'RUF WORK FOR ALL'!D40</f>
        <v>4571040</v>
      </c>
      <c r="E42" s="4"/>
      <c r="G42" s="14"/>
    </row>
    <row r="43" spans="1:7" ht="12.75">
      <c r="A43" s="5" t="s">
        <v>41</v>
      </c>
      <c r="B43" s="4" t="s">
        <v>348</v>
      </c>
      <c r="D43" s="18">
        <f>'RUF WORK FOR ALL'!D45</f>
        <v>899300</v>
      </c>
      <c r="E43" s="4"/>
      <c r="G43" s="14"/>
    </row>
    <row r="44" spans="1:7" ht="12.75">
      <c r="A44" s="5" t="s">
        <v>77</v>
      </c>
      <c r="B44" s="4" t="s">
        <v>450</v>
      </c>
      <c r="D44" s="18">
        <f>'RUF WORK FOR ALL'!D32</f>
        <v>10425150</v>
      </c>
      <c r="E44" s="48"/>
      <c r="G44" s="14"/>
    </row>
    <row r="45" spans="1:7" ht="12.75">
      <c r="A45" s="5" t="s">
        <v>77</v>
      </c>
      <c r="B45" s="4" t="s">
        <v>451</v>
      </c>
      <c r="D45" s="47">
        <f>'RUF WORK FOR ALL'!D33</f>
        <v>581000</v>
      </c>
      <c r="E45" s="14">
        <f>SUM(D42:D45)</f>
        <v>16476490</v>
      </c>
      <c r="G45" s="14">
        <f>SUM(E32:E45)</f>
        <v>20069662</v>
      </c>
    </row>
    <row r="46" spans="4:7" ht="12.75">
      <c r="D46" s="18"/>
      <c r="E46" s="4"/>
      <c r="G46" s="14"/>
    </row>
    <row r="47" spans="4:7" ht="12.75">
      <c r="D47" s="18"/>
      <c r="E47" s="4"/>
      <c r="G47" s="14"/>
    </row>
    <row r="48" spans="2:7" ht="12.75">
      <c r="B48" s="1" t="s">
        <v>321</v>
      </c>
      <c r="C48" s="2"/>
      <c r="D48" s="18"/>
      <c r="G48" s="14"/>
    </row>
    <row r="49" spans="2:7" ht="15">
      <c r="B49" s="10" t="s">
        <v>2</v>
      </c>
      <c r="C49" s="11"/>
      <c r="D49" s="12" t="s">
        <v>3</v>
      </c>
      <c r="G49" s="14"/>
    </row>
    <row r="50" spans="2:7" ht="12.75">
      <c r="B50" s="11"/>
      <c r="C50" s="13"/>
      <c r="D50" s="12" t="s">
        <v>4</v>
      </c>
      <c r="G50" s="14"/>
    </row>
    <row r="51" spans="1:7" ht="12.75">
      <c r="A51" s="5" t="s">
        <v>36</v>
      </c>
      <c r="B51" s="4" t="s">
        <v>401</v>
      </c>
      <c r="D51" s="18">
        <f>'RUF WORK FOR ALL'!D59</f>
        <v>4561</v>
      </c>
      <c r="G51" s="14"/>
    </row>
    <row r="52" spans="1:7" ht="12.75">
      <c r="A52" s="5" t="s">
        <v>41</v>
      </c>
      <c r="B52" s="4" t="s">
        <v>415</v>
      </c>
      <c r="D52" s="18">
        <f>'RUF WORK FOR ALL'!D60</f>
        <v>20000</v>
      </c>
      <c r="G52" s="14"/>
    </row>
    <row r="53" spans="1:7" ht="12.75">
      <c r="A53" s="5" t="s">
        <v>41</v>
      </c>
      <c r="B53" s="4" t="s">
        <v>416</v>
      </c>
      <c r="D53" s="18">
        <f>'RUF WORK FOR ALL'!D61</f>
        <v>564025</v>
      </c>
      <c r="G53" s="14"/>
    </row>
    <row r="54" spans="1:7" ht="12.75">
      <c r="A54" s="5" t="s">
        <v>217</v>
      </c>
      <c r="B54" s="4" t="s">
        <v>219</v>
      </c>
      <c r="D54" s="18">
        <f>'RUF WORK FOR ALL'!D52</f>
        <v>9000</v>
      </c>
      <c r="E54" s="14"/>
      <c r="G54" s="14"/>
    </row>
    <row r="55" spans="1:7" ht="12.75">
      <c r="A55" s="5" t="s">
        <v>39</v>
      </c>
      <c r="B55" s="4" t="s">
        <v>317</v>
      </c>
      <c r="D55" s="18">
        <f>'RUF WORK FOR ALL'!D56</f>
        <v>8267</v>
      </c>
      <c r="E55" s="14"/>
      <c r="G55" s="14"/>
    </row>
    <row r="56" spans="1:7" ht="12.75">
      <c r="A56" s="5" t="s">
        <v>41</v>
      </c>
      <c r="B56" s="4" t="s">
        <v>417</v>
      </c>
      <c r="D56" s="18">
        <f>'RUF WORK FOR ALL'!D62</f>
        <v>13900</v>
      </c>
      <c r="E56" s="14"/>
      <c r="G56" s="14"/>
    </row>
    <row r="57" spans="1:7" ht="12.75">
      <c r="A57" s="5" t="s">
        <v>217</v>
      </c>
      <c r="B57" s="4" t="s">
        <v>220</v>
      </c>
      <c r="D57" s="18">
        <f>'RUF WORK FOR ALL'!D53</f>
        <v>201998</v>
      </c>
      <c r="E57" s="14"/>
      <c r="G57" s="14"/>
    </row>
    <row r="58" spans="1:7" ht="12.75">
      <c r="A58" s="5" t="s">
        <v>39</v>
      </c>
      <c r="B58" s="4" t="s">
        <v>318</v>
      </c>
      <c r="D58" s="18">
        <f>'RUF WORK FOR ALL'!D57</f>
        <v>85308</v>
      </c>
      <c r="E58" s="14"/>
      <c r="G58" s="14"/>
    </row>
    <row r="59" spans="1:7" ht="12.75">
      <c r="A59" s="5" t="s">
        <v>217</v>
      </c>
      <c r="B59" s="4" t="s">
        <v>221</v>
      </c>
      <c r="D59" s="18">
        <f>'RUF WORK FOR ALL'!D54</f>
        <v>352525</v>
      </c>
      <c r="E59" s="14"/>
      <c r="G59" s="14"/>
    </row>
    <row r="60" spans="1:7" ht="12.75">
      <c r="A60" s="5" t="s">
        <v>41</v>
      </c>
      <c r="B60" s="4" t="s">
        <v>418</v>
      </c>
      <c r="D60" s="18">
        <f>'RUF WORK FOR ALL'!D63</f>
        <v>818</v>
      </c>
      <c r="E60" s="14"/>
      <c r="G60" s="14"/>
    </row>
    <row r="61" spans="1:7" ht="12.75">
      <c r="A61" s="5" t="s">
        <v>217</v>
      </c>
      <c r="B61" s="4" t="s">
        <v>222</v>
      </c>
      <c r="D61" s="18">
        <f>'RUF WORK FOR ALL'!D55</f>
        <v>713105</v>
      </c>
      <c r="E61" s="14"/>
      <c r="G61" s="14"/>
    </row>
    <row r="62" spans="1:7" ht="12.75">
      <c r="A62" s="5" t="s">
        <v>39</v>
      </c>
      <c r="B62" s="4" t="s">
        <v>319</v>
      </c>
      <c r="D62" s="47">
        <f>'RUF WORK FOR ALL'!D58</f>
        <v>2000</v>
      </c>
      <c r="E62" s="14">
        <f>SUM(D51:D62)</f>
        <v>1975507</v>
      </c>
      <c r="G62" s="14">
        <f>E62</f>
        <v>1975507</v>
      </c>
    </row>
    <row r="63" spans="4:7" ht="12.75">
      <c r="D63" s="18"/>
      <c r="E63" s="14"/>
      <c r="G63" s="14"/>
    </row>
    <row r="64" spans="2:7" ht="12.75">
      <c r="B64" s="2"/>
      <c r="C64" s="2"/>
      <c r="D64" s="18"/>
      <c r="G64" s="14"/>
    </row>
    <row r="65" spans="2:7" ht="13.5" customHeight="1">
      <c r="B65" s="1" t="s">
        <v>322</v>
      </c>
      <c r="C65" s="2"/>
      <c r="D65" s="18"/>
      <c r="G65" s="14"/>
    </row>
    <row r="66" spans="2:7" ht="13.5" customHeight="1">
      <c r="B66" s="10" t="s">
        <v>2</v>
      </c>
      <c r="C66" s="11"/>
      <c r="D66" s="12" t="s">
        <v>3</v>
      </c>
      <c r="G66" s="14"/>
    </row>
    <row r="67" spans="2:7" ht="13.5" customHeight="1">
      <c r="B67" s="11"/>
      <c r="C67" s="13"/>
      <c r="D67" s="12" t="s">
        <v>4</v>
      </c>
      <c r="G67" s="14"/>
    </row>
    <row r="68" spans="1:7" ht="13.5" customHeight="1">
      <c r="A68" s="5" t="s">
        <v>77</v>
      </c>
      <c r="B68" s="4" t="s">
        <v>13</v>
      </c>
      <c r="D68" s="18">
        <f>'RUF WORK FOR ALL'!D71</f>
        <v>79482</v>
      </c>
      <c r="G68" s="14"/>
    </row>
    <row r="69" spans="1:7" ht="13.5" customHeight="1">
      <c r="A69" s="5" t="s">
        <v>39</v>
      </c>
      <c r="B69" s="4" t="s">
        <v>13</v>
      </c>
      <c r="D69" s="18">
        <f>'RUF WORK FOR ALL'!D81</f>
        <v>2420</v>
      </c>
      <c r="E69" s="14"/>
      <c r="G69" s="14"/>
    </row>
    <row r="70" spans="1:7" ht="12.75">
      <c r="A70" s="5" t="s">
        <v>41</v>
      </c>
      <c r="B70" s="4" t="s">
        <v>13</v>
      </c>
      <c r="D70" s="47">
        <f>'RUF WORK FOR ALL'!D89</f>
        <v>79793</v>
      </c>
      <c r="E70" s="14">
        <f>SUM(D68:D70)</f>
        <v>161695</v>
      </c>
      <c r="G70" s="14"/>
    </row>
    <row r="71" spans="1:7" ht="12.75">
      <c r="A71" s="5" t="s">
        <v>41</v>
      </c>
      <c r="B71" s="4" t="s">
        <v>414</v>
      </c>
      <c r="D71" s="47">
        <f>'RUF WORK FOR ALL'!D90</f>
        <v>1550</v>
      </c>
      <c r="E71" s="14">
        <f>D71</f>
        <v>1550</v>
      </c>
      <c r="G71" s="14"/>
    </row>
    <row r="72" spans="1:7" ht="12.75">
      <c r="A72" s="5" t="s">
        <v>77</v>
      </c>
      <c r="B72" s="4" t="s">
        <v>14</v>
      </c>
      <c r="D72" s="18">
        <f>'RUF WORK FOR ALL'!D72</f>
        <v>18051</v>
      </c>
      <c r="G72" s="14"/>
    </row>
    <row r="73" spans="1:7" ht="12.75">
      <c r="A73" s="5" t="s">
        <v>39</v>
      </c>
      <c r="B73" s="4" t="s">
        <v>14</v>
      </c>
      <c r="D73" s="18">
        <f>'RUF WORK FOR ALL'!D82</f>
        <v>52933</v>
      </c>
      <c r="G73" s="14"/>
    </row>
    <row r="74" spans="1:7" ht="12.75">
      <c r="A74" s="5" t="s">
        <v>41</v>
      </c>
      <c r="B74" s="4" t="s">
        <v>14</v>
      </c>
      <c r="D74" s="47">
        <f>'RUF WORK FOR ALL'!D91</f>
        <v>13669</v>
      </c>
      <c r="E74" s="14">
        <f>SUM(D72:D74)</f>
        <v>84653</v>
      </c>
      <c r="G74" s="14"/>
    </row>
    <row r="75" spans="1:7" ht="12.75" customHeight="1">
      <c r="A75" s="5" t="s">
        <v>77</v>
      </c>
      <c r="B75" s="4" t="s">
        <v>92</v>
      </c>
      <c r="D75" s="47">
        <f>'RUF WORK FOR ALL'!D73</f>
        <v>23574</v>
      </c>
      <c r="E75" s="14">
        <f>D75</f>
        <v>23574</v>
      </c>
      <c r="G75" s="14"/>
    </row>
    <row r="76" spans="1:7" ht="12.75">
      <c r="A76" s="5" t="s">
        <v>38</v>
      </c>
      <c r="B76" s="4" t="s">
        <v>91</v>
      </c>
      <c r="D76" s="47">
        <f>'RUF WORK FOR ALL'!D69</f>
        <v>2587</v>
      </c>
      <c r="E76" s="14">
        <f>D76</f>
        <v>2587</v>
      </c>
      <c r="G76" s="14"/>
    </row>
    <row r="77" spans="1:7" ht="12.75">
      <c r="A77" s="5" t="s">
        <v>77</v>
      </c>
      <c r="B77" s="4" t="s">
        <v>15</v>
      </c>
      <c r="D77" s="18">
        <f>'RUF WORK FOR ALL'!D74</f>
        <v>13543</v>
      </c>
      <c r="G77" s="14"/>
    </row>
    <row r="78" spans="1:7" ht="12.75">
      <c r="A78" s="5" t="s">
        <v>39</v>
      </c>
      <c r="B78" s="4" t="s">
        <v>15</v>
      </c>
      <c r="D78" s="47">
        <f>'RUF WORK FOR ALL'!D83</f>
        <v>13791</v>
      </c>
      <c r="E78" s="14">
        <f>SUM(D77:D78)</f>
        <v>27334</v>
      </c>
      <c r="G78" s="14"/>
    </row>
    <row r="79" spans="1:7" ht="12.75" customHeight="1">
      <c r="A79" s="5" t="s">
        <v>77</v>
      </c>
      <c r="B79" s="4" t="s">
        <v>16</v>
      </c>
      <c r="D79" s="18">
        <f>'RUF WORK FOR ALL'!D75</f>
        <v>294806</v>
      </c>
      <c r="E79" s="14"/>
      <c r="G79" s="14"/>
    </row>
    <row r="80" spans="1:7" ht="12.75" customHeight="1">
      <c r="A80" s="5" t="s">
        <v>39</v>
      </c>
      <c r="B80" s="4" t="s">
        <v>16</v>
      </c>
      <c r="D80" s="47">
        <f>'RUF WORK FOR ALL'!D84</f>
        <v>205564</v>
      </c>
      <c r="E80" s="14">
        <f>SUM(D79:D80)</f>
        <v>500370</v>
      </c>
      <c r="G80" s="14"/>
    </row>
    <row r="81" spans="1:7" ht="12.75" customHeight="1">
      <c r="A81" s="5" t="s">
        <v>77</v>
      </c>
      <c r="B81" s="4" t="s">
        <v>17</v>
      </c>
      <c r="D81" s="18">
        <f>'RUF WORK FOR ALL'!D76</f>
        <v>1337756</v>
      </c>
      <c r="E81" s="14"/>
      <c r="G81" s="14"/>
    </row>
    <row r="82" spans="1:7" ht="12.75" customHeight="1">
      <c r="A82" s="5" t="s">
        <v>39</v>
      </c>
      <c r="B82" s="4" t="s">
        <v>17</v>
      </c>
      <c r="D82" s="18">
        <f>'RUF WORK FOR ALL'!D85</f>
        <v>965453</v>
      </c>
      <c r="E82" s="14"/>
      <c r="G82" s="14"/>
    </row>
    <row r="83" spans="1:7" ht="12.75" customHeight="1">
      <c r="A83" s="5" t="s">
        <v>41</v>
      </c>
      <c r="B83" s="4" t="s">
        <v>17</v>
      </c>
      <c r="D83" s="47">
        <f>'RUF WORK FOR ALL'!D92</f>
        <v>284709</v>
      </c>
      <c r="E83" s="14">
        <f>SUM(D81:D83)</f>
        <v>2587918</v>
      </c>
      <c r="G83" s="14"/>
    </row>
    <row r="84" spans="1:7" ht="12.75" customHeight="1">
      <c r="A84" s="5" t="s">
        <v>77</v>
      </c>
      <c r="B84" s="4" t="s">
        <v>18</v>
      </c>
      <c r="D84" s="47">
        <f>'RUF WORK FOR ALL'!D77</f>
        <v>149242</v>
      </c>
      <c r="E84" s="14">
        <f>D84</f>
        <v>149242</v>
      </c>
      <c r="G84" s="14"/>
    </row>
    <row r="85" spans="1:7" ht="12.75" customHeight="1">
      <c r="A85" s="5" t="s">
        <v>77</v>
      </c>
      <c r="B85" s="4" t="s">
        <v>19</v>
      </c>
      <c r="D85" s="18">
        <f>'RUF WORK FOR ALL'!D78</f>
        <v>137488</v>
      </c>
      <c r="E85" s="14"/>
      <c r="G85" s="14"/>
    </row>
    <row r="86" spans="1:7" ht="12.75" customHeight="1">
      <c r="A86" s="5" t="s">
        <v>39</v>
      </c>
      <c r="B86" s="4" t="s">
        <v>19</v>
      </c>
      <c r="D86" s="47">
        <f>'RUF WORK FOR ALL'!D86</f>
        <v>1093</v>
      </c>
      <c r="E86" s="14">
        <f>SUM(D85:D86)</f>
        <v>138581</v>
      </c>
      <c r="G86" s="14"/>
    </row>
    <row r="87" spans="1:7" ht="12.75" customHeight="1">
      <c r="A87" s="5" t="s">
        <v>38</v>
      </c>
      <c r="B87" s="4" t="s">
        <v>20</v>
      </c>
      <c r="D87" s="18">
        <f>'RUF WORK FOR ALL'!D70</f>
        <v>3478</v>
      </c>
      <c r="E87" s="14"/>
      <c r="G87" s="14"/>
    </row>
    <row r="88" spans="1:7" ht="12.75" customHeight="1">
      <c r="A88" s="5" t="s">
        <v>77</v>
      </c>
      <c r="B88" s="4" t="s">
        <v>20</v>
      </c>
      <c r="D88" s="18">
        <f>'RUF WORK FOR ALL'!D79</f>
        <v>19814</v>
      </c>
      <c r="E88" s="14"/>
      <c r="G88" s="14"/>
    </row>
    <row r="89" spans="1:7" ht="12.75" customHeight="1">
      <c r="A89" s="5" t="s">
        <v>39</v>
      </c>
      <c r="B89" s="4" t="s">
        <v>20</v>
      </c>
      <c r="D89" s="18">
        <f>'RUF WORK FOR ALL'!D87</f>
        <v>8027</v>
      </c>
      <c r="E89" s="14"/>
      <c r="G89" s="14"/>
    </row>
    <row r="90" spans="1:7" ht="12.75" customHeight="1">
      <c r="A90" s="5" t="s">
        <v>36</v>
      </c>
      <c r="B90" s="4" t="s">
        <v>20</v>
      </c>
      <c r="D90" s="18">
        <f>'RUF WORK FOR ALL'!D88</f>
        <v>386</v>
      </c>
      <c r="E90" s="14"/>
      <c r="G90" s="14"/>
    </row>
    <row r="91" spans="1:7" ht="12.75" customHeight="1">
      <c r="A91" s="5" t="s">
        <v>41</v>
      </c>
      <c r="B91" s="4" t="s">
        <v>20</v>
      </c>
      <c r="D91" s="47">
        <f>'RUF WORK FOR ALL'!D93</f>
        <v>10633</v>
      </c>
      <c r="E91" s="14">
        <f>SUM(D87:D91)</f>
        <v>42338</v>
      </c>
      <c r="G91" s="14"/>
    </row>
    <row r="92" spans="1:7" ht="12.75" customHeight="1">
      <c r="A92" s="5" t="s">
        <v>77</v>
      </c>
      <c r="B92" s="4" t="s">
        <v>21</v>
      </c>
      <c r="D92" s="47">
        <f>'RUF WORK FOR ALL'!D80</f>
        <v>49876</v>
      </c>
      <c r="E92" s="14">
        <f>D92</f>
        <v>49876</v>
      </c>
      <c r="G92" s="14">
        <f>SUM(E68:E92)</f>
        <v>3769718</v>
      </c>
    </row>
    <row r="93" spans="4:7" ht="12.75" customHeight="1">
      <c r="D93" s="9"/>
      <c r="E93" s="14"/>
      <c r="G93" s="14"/>
    </row>
    <row r="94" spans="2:7" ht="12.75" customHeight="1">
      <c r="B94" s="1" t="s">
        <v>323</v>
      </c>
      <c r="C94" s="2"/>
      <c r="D94" s="3"/>
      <c r="G94" s="14"/>
    </row>
    <row r="95" spans="2:7" ht="12.75" customHeight="1">
      <c r="B95" s="10" t="s">
        <v>2</v>
      </c>
      <c r="C95" s="11"/>
      <c r="D95" s="3" t="s">
        <v>3</v>
      </c>
      <c r="G95" s="14"/>
    </row>
    <row r="96" spans="2:7" ht="12.75" customHeight="1">
      <c r="B96" s="11"/>
      <c r="C96" s="13"/>
      <c r="D96" s="12" t="s">
        <v>4</v>
      </c>
      <c r="G96" s="14"/>
    </row>
    <row r="97" spans="1:7" ht="12.75" customHeight="1">
      <c r="A97" s="5" t="s">
        <v>39</v>
      </c>
      <c r="B97" s="4" t="s">
        <v>340</v>
      </c>
      <c r="C97" s="2" t="s">
        <v>40</v>
      </c>
      <c r="D97" s="9">
        <f>'RUF WORK FOR ALL'!D98</f>
        <v>0</v>
      </c>
      <c r="E97" s="14"/>
      <c r="G97" s="14"/>
    </row>
    <row r="98" spans="1:7" ht="12.75" customHeight="1">
      <c r="A98" s="5" t="s">
        <v>39</v>
      </c>
      <c r="B98" s="4" t="s">
        <v>341</v>
      </c>
      <c r="C98" s="2" t="s">
        <v>40</v>
      </c>
      <c r="D98" s="9">
        <f>'RUF WORK FOR ALL'!D99</f>
        <v>0</v>
      </c>
      <c r="G98" s="14"/>
    </row>
    <row r="99" spans="1:7" ht="12.75" customHeight="1">
      <c r="A99" s="5" t="s">
        <v>39</v>
      </c>
      <c r="B99" s="4" t="s">
        <v>342</v>
      </c>
      <c r="C99" s="2" t="s">
        <v>40</v>
      </c>
      <c r="D99" s="9">
        <f>'RUF WORK FOR ALL'!D100</f>
        <v>0</v>
      </c>
      <c r="G99" s="14"/>
    </row>
    <row r="100" spans="1:7" ht="12.75" customHeight="1">
      <c r="A100" s="5" t="s">
        <v>39</v>
      </c>
      <c r="B100" s="4" t="s">
        <v>343</v>
      </c>
      <c r="C100" s="2" t="s">
        <v>40</v>
      </c>
      <c r="D100" s="9">
        <f>'RUF WORK FOR ALL'!D101</f>
        <v>0</v>
      </c>
      <c r="G100" s="14"/>
    </row>
    <row r="101" spans="1:7" ht="12.75" customHeight="1">
      <c r="A101" s="5" t="s">
        <v>39</v>
      </c>
      <c r="B101" s="4" t="s">
        <v>344</v>
      </c>
      <c r="C101" s="2" t="s">
        <v>37</v>
      </c>
      <c r="D101" s="9">
        <f>'RUF WORK FOR ALL'!D102</f>
        <v>1599</v>
      </c>
      <c r="G101" s="14"/>
    </row>
    <row r="102" spans="1:7" ht="12.75" customHeight="1">
      <c r="A102" s="5" t="s">
        <v>39</v>
      </c>
      <c r="B102" s="4" t="s">
        <v>345</v>
      </c>
      <c r="C102" s="2" t="s">
        <v>40</v>
      </c>
      <c r="D102" s="9">
        <f>'RUF WORK FOR ALL'!D103</f>
        <v>0</v>
      </c>
      <c r="G102" s="14"/>
    </row>
    <row r="103" spans="1:7" ht="12.75" customHeight="1">
      <c r="A103" s="5" t="s">
        <v>39</v>
      </c>
      <c r="B103" s="4" t="s">
        <v>346</v>
      </c>
      <c r="C103" s="2" t="s">
        <v>40</v>
      </c>
      <c r="D103" s="9">
        <f>'RUF WORK FOR ALL'!D104</f>
        <v>0</v>
      </c>
      <c r="G103" s="14"/>
    </row>
    <row r="104" spans="1:7" ht="12.75" customHeight="1">
      <c r="A104" s="5" t="s">
        <v>39</v>
      </c>
      <c r="B104" s="4" t="s">
        <v>347</v>
      </c>
      <c r="C104" s="2" t="s">
        <v>37</v>
      </c>
      <c r="D104" s="9">
        <f>'RUF WORK FOR ALL'!D105</f>
        <v>3000</v>
      </c>
      <c r="G104" s="14"/>
    </row>
    <row r="105" spans="1:8" ht="12.75" customHeight="1">
      <c r="A105" s="5" t="s">
        <v>39</v>
      </c>
      <c r="B105" s="4" t="s">
        <v>33</v>
      </c>
      <c r="C105" s="2" t="s">
        <v>37</v>
      </c>
      <c r="D105" s="46">
        <f>'RUF WORK FOR ALL'!D106</f>
        <v>5643</v>
      </c>
      <c r="E105" s="14">
        <f>(SUM(D104:D105)+D101)-(SUM(D102:D103)+SUM(D97:D100))</f>
        <v>10242</v>
      </c>
      <c r="G105" s="48">
        <f>E105</f>
        <v>10242</v>
      </c>
      <c r="H105" s="2" t="s">
        <v>37</v>
      </c>
    </row>
    <row r="106" spans="4:7" ht="12.75" customHeight="1">
      <c r="D106" s="9"/>
      <c r="G106" s="14"/>
    </row>
    <row r="107" spans="2:7" ht="12.75">
      <c r="B107" s="1" t="s">
        <v>324</v>
      </c>
      <c r="C107" s="2"/>
      <c r="D107" s="3"/>
      <c r="G107" s="14"/>
    </row>
    <row r="108" spans="2:7" ht="15">
      <c r="B108" s="10" t="s">
        <v>2</v>
      </c>
      <c r="C108" s="11"/>
      <c r="D108" s="3" t="s">
        <v>3</v>
      </c>
      <c r="G108" s="14"/>
    </row>
    <row r="109" spans="2:7" ht="12.75">
      <c r="B109" s="11"/>
      <c r="C109" s="13"/>
      <c r="D109" s="12" t="s">
        <v>4</v>
      </c>
      <c r="G109" s="14"/>
    </row>
    <row r="110" spans="1:7" ht="12.75">
      <c r="A110" s="5" t="s">
        <v>77</v>
      </c>
      <c r="B110" s="4" t="s">
        <v>22</v>
      </c>
      <c r="D110" s="9">
        <f>'RUF WORK FOR ALL'!D111</f>
        <v>132500</v>
      </c>
      <c r="G110" s="14"/>
    </row>
    <row r="111" spans="1:7" ht="12.75">
      <c r="A111" s="5" t="s">
        <v>248</v>
      </c>
      <c r="B111" s="4" t="s">
        <v>249</v>
      </c>
      <c r="D111" s="9">
        <f>'RUF WORK FOR ALL'!D115</f>
        <v>163600</v>
      </c>
      <c r="G111" s="14"/>
    </row>
    <row r="112" spans="1:7" ht="12.75">
      <c r="A112" s="5" t="s">
        <v>248</v>
      </c>
      <c r="B112" s="4" t="s">
        <v>250</v>
      </c>
      <c r="D112" s="9">
        <f>'RUF WORK FOR ALL'!D116</f>
        <v>4656400</v>
      </c>
      <c r="G112" s="14"/>
    </row>
    <row r="113" spans="1:7" ht="12.75">
      <c r="A113" s="5" t="s">
        <v>77</v>
      </c>
      <c r="B113" s="4" t="s">
        <v>23</v>
      </c>
      <c r="D113" s="9">
        <f>'RUF WORK FOR ALL'!D112</f>
        <v>0</v>
      </c>
      <c r="E113" s="14"/>
      <c r="G113" s="14"/>
    </row>
    <row r="114" spans="1:7" ht="12.75">
      <c r="A114" s="5" t="s">
        <v>77</v>
      </c>
      <c r="B114" s="4" t="s">
        <v>24</v>
      </c>
      <c r="D114" s="9">
        <f>'RUF WORK FOR ALL'!D113</f>
        <v>311650</v>
      </c>
      <c r="G114" s="14"/>
    </row>
    <row r="115" spans="1:7" ht="12.75">
      <c r="A115" s="5" t="s">
        <v>77</v>
      </c>
      <c r="B115" s="4" t="s">
        <v>25</v>
      </c>
      <c r="D115" s="9">
        <f>'RUF WORK FOR ALL'!D114</f>
        <v>7094875</v>
      </c>
      <c r="E115" s="14"/>
      <c r="G115" s="14"/>
    </row>
    <row r="116" spans="1:7" ht="12.75">
      <c r="A116" s="5" t="s">
        <v>275</v>
      </c>
      <c r="B116" s="4" t="s">
        <v>459</v>
      </c>
      <c r="D116" s="46">
        <f>'RUF WORK FOR ALL'!D117</f>
        <v>1731225</v>
      </c>
      <c r="E116" s="14">
        <f>SUM(D110:D116)</f>
        <v>14090250</v>
      </c>
      <c r="G116" s="14">
        <f>E116</f>
        <v>14090250</v>
      </c>
    </row>
    <row r="117" spans="4:7" ht="12.75">
      <c r="D117" s="9"/>
      <c r="G117" s="14"/>
    </row>
    <row r="118" spans="2:7" ht="12.75">
      <c r="B118" s="1" t="s">
        <v>325</v>
      </c>
      <c r="C118" s="2"/>
      <c r="D118" s="3"/>
      <c r="G118" s="14"/>
    </row>
    <row r="119" spans="2:7" ht="15">
      <c r="B119" s="10" t="s">
        <v>2</v>
      </c>
      <c r="C119" s="11"/>
      <c r="D119" s="3" t="s">
        <v>3</v>
      </c>
      <c r="G119" s="14"/>
    </row>
    <row r="120" spans="2:7" ht="12.75">
      <c r="B120" s="11"/>
      <c r="C120" s="13"/>
      <c r="D120" s="12" t="s">
        <v>4</v>
      </c>
      <c r="G120" s="14"/>
    </row>
    <row r="121" spans="1:7" ht="12.75">
      <c r="A121" s="5" t="s">
        <v>77</v>
      </c>
      <c r="B121" s="4" t="s">
        <v>26</v>
      </c>
      <c r="D121" s="46">
        <f>'RUF WORK FOR ALL'!D122</f>
        <v>5000</v>
      </c>
      <c r="E121" s="14">
        <f>D121</f>
        <v>5000</v>
      </c>
      <c r="G121" s="14">
        <f>E121</f>
        <v>5000</v>
      </c>
    </row>
    <row r="122" spans="2:7" ht="12.75">
      <c r="B122" s="5"/>
      <c r="C122" s="5"/>
      <c r="D122" s="5"/>
      <c r="G122" s="14"/>
    </row>
    <row r="123" spans="2:7" ht="12.75">
      <c r="B123" s="1" t="s">
        <v>326</v>
      </c>
      <c r="C123" s="2"/>
      <c r="D123" s="3"/>
      <c r="G123" s="14"/>
    </row>
    <row r="124" spans="2:7" ht="15">
      <c r="B124" s="10" t="s">
        <v>2</v>
      </c>
      <c r="C124" s="11"/>
      <c r="D124" s="3" t="s">
        <v>3</v>
      </c>
      <c r="G124" s="14"/>
    </row>
    <row r="125" spans="2:7" ht="12.75">
      <c r="B125" s="11"/>
      <c r="C125" s="13"/>
      <c r="D125" s="12" t="s">
        <v>4</v>
      </c>
      <c r="G125" s="14"/>
    </row>
    <row r="126" spans="1:7" ht="12.75">
      <c r="A126" s="5" t="s">
        <v>77</v>
      </c>
      <c r="B126" s="4" t="s">
        <v>27</v>
      </c>
      <c r="D126" s="9">
        <f>'RUF WORK FOR ALL'!D127</f>
        <v>4000</v>
      </c>
      <c r="G126" s="14"/>
    </row>
    <row r="127" spans="1:7" ht="12.75">
      <c r="A127" s="5" t="s">
        <v>77</v>
      </c>
      <c r="B127" s="4" t="s">
        <v>28</v>
      </c>
      <c r="D127" s="9">
        <f>'RUF WORK FOR ALL'!D128</f>
        <v>24992</v>
      </c>
      <c r="G127" s="14"/>
    </row>
    <row r="128" spans="1:7" ht="12.75">
      <c r="A128" s="5" t="s">
        <v>77</v>
      </c>
      <c r="B128" s="4" t="s">
        <v>29</v>
      </c>
      <c r="D128" s="9">
        <f>'RUF WORK FOR ALL'!D129</f>
        <v>2175</v>
      </c>
      <c r="G128" s="14"/>
    </row>
    <row r="129" spans="1:7" ht="12.75">
      <c r="A129" s="5" t="s">
        <v>77</v>
      </c>
      <c r="B129" s="4" t="s">
        <v>30</v>
      </c>
      <c r="D129" s="9">
        <f>'RUF WORK FOR ALL'!D130</f>
        <v>3510</v>
      </c>
      <c r="G129" s="14"/>
    </row>
    <row r="130" spans="1:7" ht="12.75">
      <c r="A130" s="5" t="s">
        <v>77</v>
      </c>
      <c r="B130" s="4" t="s">
        <v>31</v>
      </c>
      <c r="D130" s="9">
        <f>'RUF WORK FOR ALL'!D131</f>
        <v>7148</v>
      </c>
      <c r="G130" s="14"/>
    </row>
    <row r="131" spans="1:7" ht="12.75">
      <c r="A131" s="5" t="s">
        <v>77</v>
      </c>
      <c r="B131" s="4" t="s">
        <v>32</v>
      </c>
      <c r="D131" s="9">
        <f>'RUF WORK FOR ALL'!D132</f>
        <v>2240</v>
      </c>
      <c r="G131" s="14"/>
    </row>
    <row r="132" spans="1:7" ht="12.75">
      <c r="A132" s="5" t="s">
        <v>77</v>
      </c>
      <c r="B132" s="4" t="s">
        <v>33</v>
      </c>
      <c r="D132" s="9">
        <f>'RUF WORK FOR ALL'!D133</f>
        <v>0</v>
      </c>
      <c r="G132" s="14"/>
    </row>
    <row r="133" spans="1:7" ht="12.75">
      <c r="A133" s="5" t="s">
        <v>77</v>
      </c>
      <c r="B133" s="4" t="s">
        <v>34</v>
      </c>
      <c r="D133" s="9">
        <f>'RUF WORK FOR ALL'!D134</f>
        <v>2390</v>
      </c>
      <c r="G133" s="14"/>
    </row>
    <row r="134" spans="1:7" ht="12.75">
      <c r="A134" s="5" t="s">
        <v>77</v>
      </c>
      <c r="B134" s="4" t="s">
        <v>35</v>
      </c>
      <c r="D134" s="46">
        <f>'RUF WORK FOR ALL'!D135</f>
        <v>7900</v>
      </c>
      <c r="E134" s="14">
        <f>SUM(D126:D134)</f>
        <v>54355</v>
      </c>
      <c r="G134" s="14">
        <f>E134</f>
        <v>54355</v>
      </c>
    </row>
    <row r="135" spans="4:7" ht="12.75">
      <c r="D135" s="9"/>
      <c r="G135" s="14"/>
    </row>
    <row r="136" spans="2:7" ht="12.75">
      <c r="B136" s="3"/>
      <c r="C136" s="3"/>
      <c r="D136" s="8"/>
      <c r="G136" s="14"/>
    </row>
    <row r="137" spans="2:7" ht="12.75">
      <c r="B137" s="1" t="s">
        <v>327</v>
      </c>
      <c r="C137" s="2"/>
      <c r="D137" s="3"/>
      <c r="G137" s="14"/>
    </row>
    <row r="138" spans="2:7" ht="15">
      <c r="B138" s="10" t="s">
        <v>2</v>
      </c>
      <c r="C138" s="154" t="s">
        <v>3</v>
      </c>
      <c r="D138" s="154"/>
      <c r="G138" s="14"/>
    </row>
    <row r="139" spans="2:7" ht="12.75">
      <c r="B139" s="3"/>
      <c r="C139" s="154" t="s">
        <v>4</v>
      </c>
      <c r="D139" s="154"/>
      <c r="G139" s="14"/>
    </row>
    <row r="140" spans="1:7" ht="12.75">
      <c r="A140" s="5" t="s">
        <v>38</v>
      </c>
      <c r="B140" s="4" t="s">
        <v>36</v>
      </c>
      <c r="C140" s="8" t="str">
        <f>'RUF WORK FOR ALL'!C141</f>
        <v>Cr</v>
      </c>
      <c r="D140" s="9">
        <f>'RUF WORK FOR ALL'!D141</f>
        <v>1599587</v>
      </c>
      <c r="G140" s="14"/>
    </row>
    <row r="141" spans="1:7" ht="12.75">
      <c r="A141" s="5" t="s">
        <v>77</v>
      </c>
      <c r="B141" s="4" t="s">
        <v>36</v>
      </c>
      <c r="C141" s="8" t="str">
        <f>'RUF WORK FOR ALL'!C148</f>
        <v>Cr</v>
      </c>
      <c r="D141" s="9">
        <f>'RUF WORK FOR ALL'!D148</f>
        <v>1127990</v>
      </c>
      <c r="G141" s="14"/>
    </row>
    <row r="142" spans="1:7" ht="12.75">
      <c r="A142" s="5" t="s">
        <v>217</v>
      </c>
      <c r="B142" s="4" t="s">
        <v>36</v>
      </c>
      <c r="C142" s="8" t="str">
        <f>'RUF WORK FOR ALL'!C156</f>
        <v>Dr</v>
      </c>
      <c r="D142" s="9">
        <f>'RUF WORK FOR ALL'!D156</f>
        <v>1599339</v>
      </c>
      <c r="G142" s="14"/>
    </row>
    <row r="143" spans="1:7" ht="12.75">
      <c r="A143" s="5" t="s">
        <v>248</v>
      </c>
      <c r="B143" s="4" t="s">
        <v>36</v>
      </c>
      <c r="C143" s="8" t="str">
        <f>'RUF WORK FOR ALL'!C164</f>
        <v>Dr</v>
      </c>
      <c r="D143" s="9">
        <f>'RUF WORK FOR ALL'!D164</f>
        <v>2515075</v>
      </c>
      <c r="G143" s="14"/>
    </row>
    <row r="144" spans="1:7" ht="12.75">
      <c r="A144" s="5" t="s">
        <v>275</v>
      </c>
      <c r="B144" s="4" t="s">
        <v>36</v>
      </c>
      <c r="C144" s="8" t="str">
        <f>'RUF WORK FOR ALL'!C170</f>
        <v>Cr</v>
      </c>
      <c r="D144" s="9">
        <f>'RUF WORK FOR ALL'!D170</f>
        <v>2549260</v>
      </c>
      <c r="G144" s="14"/>
    </row>
    <row r="145" spans="1:7" ht="12.75">
      <c r="A145" s="5" t="s">
        <v>39</v>
      </c>
      <c r="B145" s="4" t="s">
        <v>36</v>
      </c>
      <c r="C145" s="8" t="str">
        <f>'RUF WORK FOR ALL'!C180</f>
        <v>Cr</v>
      </c>
      <c r="D145" s="9">
        <f>'RUF WORK FOR ALL'!D180</f>
        <v>1801472</v>
      </c>
      <c r="G145" s="14"/>
    </row>
    <row r="146" spans="1:7" ht="12.75">
      <c r="A146" s="5" t="s">
        <v>41</v>
      </c>
      <c r="B146" s="4" t="s">
        <v>36</v>
      </c>
      <c r="C146" s="52" t="str">
        <f>'RUF WORK FOR ALL'!C191</f>
        <v>Dr</v>
      </c>
      <c r="D146" s="46">
        <f>'RUF WORK FOR ALL'!D191</f>
        <v>4614183</v>
      </c>
      <c r="E146" s="14">
        <f>SUM(D146)+SUM(D142:D143)-SUM(D144:D145)-SUM(D140:D141)</f>
        <v>1650288</v>
      </c>
      <c r="F146" s="2" t="s">
        <v>40</v>
      </c>
      <c r="G146" s="14"/>
    </row>
    <row r="147" spans="1:7" ht="12.75">
      <c r="A147" s="5" t="s">
        <v>77</v>
      </c>
      <c r="B147" s="4" t="s">
        <v>38</v>
      </c>
      <c r="C147" s="8" t="str">
        <f>'RUF WORK FOR ALL'!C149</f>
        <v>Cr</v>
      </c>
      <c r="D147" s="9">
        <f>'RUF WORK FOR ALL'!D149</f>
        <v>5036503</v>
      </c>
      <c r="G147" s="14"/>
    </row>
    <row r="148" spans="1:7" ht="12.75">
      <c r="A148" s="5" t="s">
        <v>217</v>
      </c>
      <c r="B148" s="4" t="s">
        <v>38</v>
      </c>
      <c r="C148" s="8" t="str">
        <f>'RUF WORK FOR ALL'!C161</f>
        <v>Dr</v>
      </c>
      <c r="D148" s="9">
        <f>'RUF WORK FOR ALL'!D161</f>
        <v>49587</v>
      </c>
      <c r="G148" s="14"/>
    </row>
    <row r="149" spans="1:7" ht="12.75">
      <c r="A149" s="5" t="s">
        <v>248</v>
      </c>
      <c r="B149" s="4" t="s">
        <v>38</v>
      </c>
      <c r="C149" s="8" t="str">
        <f>'RUF WORK FOR ALL'!C162</f>
        <v>Dr</v>
      </c>
      <c r="D149" s="9">
        <f>'RUF WORK FOR ALL'!D162</f>
        <v>199587</v>
      </c>
      <c r="G149" s="14"/>
    </row>
    <row r="150" spans="1:7" ht="12.75">
      <c r="A150" s="5" t="s">
        <v>275</v>
      </c>
      <c r="B150" s="4" t="s">
        <v>38</v>
      </c>
      <c r="C150" s="8" t="str">
        <f>'RUF WORK FOR ALL'!C169</f>
        <v>Dr</v>
      </c>
      <c r="D150" s="9">
        <f>'RUF WORK FOR ALL'!D169</f>
        <v>61351</v>
      </c>
      <c r="G150" s="14"/>
    </row>
    <row r="151" spans="1:7" ht="12.75">
      <c r="A151" s="5" t="s">
        <v>39</v>
      </c>
      <c r="B151" s="4" t="s">
        <v>38</v>
      </c>
      <c r="C151" s="8" t="str">
        <f>'RUF WORK FOR ALL'!C181</f>
        <v>Dr</v>
      </c>
      <c r="D151" s="9">
        <f>'RUF WORK FOR ALL'!D181</f>
        <v>11344438</v>
      </c>
      <c r="G151" s="14"/>
    </row>
    <row r="152" spans="1:7" ht="12.75">
      <c r="A152" s="5" t="s">
        <v>36</v>
      </c>
      <c r="B152" s="4" t="s">
        <v>38</v>
      </c>
      <c r="C152" s="8" t="str">
        <f>'RUF WORK FOR ALL'!C183</f>
        <v>Dr</v>
      </c>
      <c r="D152" s="9">
        <f>'RUF WORK FOR ALL'!D183</f>
        <v>1599587</v>
      </c>
      <c r="G152" s="14"/>
    </row>
    <row r="153" spans="1:7" ht="12.75">
      <c r="A153" s="5" t="s">
        <v>41</v>
      </c>
      <c r="B153" s="4" t="s">
        <v>38</v>
      </c>
      <c r="C153" s="52" t="str">
        <f>'RUF WORK FOR ALL'!C196</f>
        <v>Dr</v>
      </c>
      <c r="D153" s="46">
        <f>'RUF WORK FOR ALL'!D196</f>
        <v>149175</v>
      </c>
      <c r="E153" s="14">
        <f>SUM(D148:D153)-SUM(D147)</f>
        <v>8367222</v>
      </c>
      <c r="F153" s="2" t="s">
        <v>40</v>
      </c>
      <c r="G153" s="14"/>
    </row>
    <row r="154" spans="1:7" ht="12.75">
      <c r="A154" s="5" t="s">
        <v>38</v>
      </c>
      <c r="B154" s="4" t="s">
        <v>39</v>
      </c>
      <c r="C154" s="8" t="str">
        <f>'RUF WORK FOR ALL'!C142</f>
        <v>Cr</v>
      </c>
      <c r="D154" s="9">
        <f>'RUF WORK FOR ALL'!D142</f>
        <v>11344438</v>
      </c>
      <c r="G154" s="14"/>
    </row>
    <row r="155" spans="1:7" ht="12.75">
      <c r="A155" s="5" t="s">
        <v>77</v>
      </c>
      <c r="B155" s="4" t="s">
        <v>39</v>
      </c>
      <c r="C155" s="8" t="str">
        <f>'RUF WORK FOR ALL'!C150</f>
        <v>Dr</v>
      </c>
      <c r="D155" s="9">
        <f>'RUF WORK FOR ALL'!D150</f>
        <v>32138916</v>
      </c>
      <c r="G155" s="14"/>
    </row>
    <row r="156" spans="1:7" ht="12.75">
      <c r="A156" s="5" t="s">
        <v>217</v>
      </c>
      <c r="B156" s="4" t="s">
        <v>39</v>
      </c>
      <c r="C156" s="8" t="str">
        <f>'RUF WORK FOR ALL'!C157</f>
        <v>Dr</v>
      </c>
      <c r="D156" s="9">
        <f>'RUF WORK FOR ALL'!D157</f>
        <v>821208</v>
      </c>
      <c r="G156" s="14"/>
    </row>
    <row r="157" spans="1:7" ht="12.75">
      <c r="A157" s="5" t="s">
        <v>248</v>
      </c>
      <c r="B157" s="4" t="s">
        <v>39</v>
      </c>
      <c r="C157" s="8" t="str">
        <f>'RUF WORK FOR ALL'!C165</f>
        <v>Dr</v>
      </c>
      <c r="D157" s="9">
        <f>'RUF WORK FOR ALL'!D165</f>
        <v>3546768</v>
      </c>
      <c r="G157" s="14"/>
    </row>
    <row r="158" spans="1:7" ht="12.75">
      <c r="A158" s="5" t="s">
        <v>275</v>
      </c>
      <c r="B158" s="4" t="s">
        <v>39</v>
      </c>
      <c r="C158" s="8" t="str">
        <f>'RUF WORK FOR ALL'!C175</f>
        <v>Dr</v>
      </c>
      <c r="D158" s="9">
        <f>'RUF WORK FOR ALL'!D175</f>
        <v>5854659</v>
      </c>
      <c r="G158" s="14"/>
    </row>
    <row r="159" spans="1:7" ht="12.75">
      <c r="A159" s="5" t="s">
        <v>36</v>
      </c>
      <c r="B159" s="4" t="s">
        <v>39</v>
      </c>
      <c r="C159" s="8" t="str">
        <f>'RUF WORK FOR ALL'!C184</f>
        <v>Dr</v>
      </c>
      <c r="D159" s="9">
        <f>'RUF WORK FOR ALL'!D184</f>
        <v>1801472</v>
      </c>
      <c r="G159" s="14"/>
    </row>
    <row r="160" spans="1:7" ht="12.75">
      <c r="A160" s="5" t="s">
        <v>41</v>
      </c>
      <c r="B160" s="4" t="s">
        <v>39</v>
      </c>
      <c r="C160" s="52" t="str">
        <f>'RUF WORK FOR ALL'!C194</f>
        <v>Cr</v>
      </c>
      <c r="D160" s="46">
        <f>'RUF WORK FOR ALL'!D194</f>
        <v>12778121</v>
      </c>
      <c r="E160" s="14">
        <f>SUM(D155:D159)-D154-D160</f>
        <v>20040464</v>
      </c>
      <c r="F160" s="2" t="s">
        <v>40</v>
      </c>
      <c r="G160" s="14"/>
    </row>
    <row r="161" spans="1:7" ht="12.75">
      <c r="A161" s="5" t="s">
        <v>38</v>
      </c>
      <c r="B161" s="4" t="s">
        <v>41</v>
      </c>
      <c r="C161" s="8" t="str">
        <f>'RUF WORK FOR ALL'!C143</f>
        <v>Cr</v>
      </c>
      <c r="D161" s="9">
        <f>'RUF WORK FOR ALL'!D143</f>
        <v>149175</v>
      </c>
      <c r="E161" s="14"/>
      <c r="F161" s="2"/>
      <c r="G161" s="14"/>
    </row>
    <row r="162" spans="1:7" ht="12.75">
      <c r="A162" s="5" t="s">
        <v>77</v>
      </c>
      <c r="B162" s="4" t="s">
        <v>41</v>
      </c>
      <c r="C162" s="8" t="str">
        <f>'RUF WORK FOR ALL'!C151</f>
        <v>Dr</v>
      </c>
      <c r="D162" s="9">
        <f>'RUF WORK FOR ALL'!D151</f>
        <v>28568517</v>
      </c>
      <c r="E162" s="14"/>
      <c r="F162" s="2"/>
      <c r="G162" s="14"/>
    </row>
    <row r="163" spans="1:7" ht="12.75">
      <c r="A163" s="5" t="s">
        <v>217</v>
      </c>
      <c r="B163" s="4" t="s">
        <v>41</v>
      </c>
      <c r="C163" s="8" t="str">
        <f>'RUF WORK FOR ALL'!C158</f>
        <v>Dr</v>
      </c>
      <c r="D163" s="9">
        <f>'RUF WORK FOR ALL'!D158</f>
        <v>2441295</v>
      </c>
      <c r="E163" s="14"/>
      <c r="F163" s="2"/>
      <c r="G163" s="14"/>
    </row>
    <row r="164" spans="1:7" ht="12.75">
      <c r="A164" s="5" t="s">
        <v>248</v>
      </c>
      <c r="B164" s="4" t="s">
        <v>41</v>
      </c>
      <c r="C164" s="8" t="str">
        <f>'RUF WORK FOR ALL'!C166</f>
        <v>Dr</v>
      </c>
      <c r="D164" s="9">
        <f>'RUF WORK FOR ALL'!D166</f>
        <v>11446330</v>
      </c>
      <c r="E164" s="14"/>
      <c r="F164" s="2"/>
      <c r="G164" s="14"/>
    </row>
    <row r="165" spans="1:7" ht="12.75">
      <c r="A165" s="5" t="s">
        <v>275</v>
      </c>
      <c r="B165" s="4" t="s">
        <v>41</v>
      </c>
      <c r="C165" s="8" t="str">
        <f>'RUF WORK FOR ALL'!C171</f>
        <v>Cr</v>
      </c>
      <c r="D165" s="9">
        <f>'RUF WORK FOR ALL'!D171</f>
        <v>4710756</v>
      </c>
      <c r="E165" s="14"/>
      <c r="F165" s="2"/>
      <c r="G165" s="14"/>
    </row>
    <row r="166" spans="1:7" ht="12.75">
      <c r="A166" s="5" t="s">
        <v>39</v>
      </c>
      <c r="B166" s="4" t="s">
        <v>41</v>
      </c>
      <c r="C166" s="8" t="str">
        <f>'RUF WORK FOR ALL'!C182</f>
        <v>Dr</v>
      </c>
      <c r="D166" s="9">
        <f>'RUF WORK FOR ALL'!D182</f>
        <v>12778121</v>
      </c>
      <c r="E166" s="14"/>
      <c r="F166" s="2"/>
      <c r="G166" s="14"/>
    </row>
    <row r="167" spans="1:7" ht="12.75">
      <c r="A167" s="5" t="s">
        <v>36</v>
      </c>
      <c r="B167" s="4" t="s">
        <v>41</v>
      </c>
      <c r="C167" s="52" t="str">
        <f>'RUF WORK FOR ALL'!C188</f>
        <v>Cr</v>
      </c>
      <c r="D167" s="46">
        <f>'RUF WORK FOR ALL'!D188</f>
        <v>4614183</v>
      </c>
      <c r="E167" s="14">
        <f>SUM(D166)+SUM(D162:D164)-D161-D165-D167</f>
        <v>45760149</v>
      </c>
      <c r="F167" s="2" t="s">
        <v>40</v>
      </c>
      <c r="G167" s="14"/>
    </row>
    <row r="168" spans="1:7" ht="12.75">
      <c r="A168" s="5" t="s">
        <v>217</v>
      </c>
      <c r="B168" s="4" t="s">
        <v>77</v>
      </c>
      <c r="C168" s="8" t="str">
        <f>'RUF WORK FOR ALL'!C155</f>
        <v>Cr</v>
      </c>
      <c r="D168" s="9">
        <f>'RUF WORK FOR ALL'!D155</f>
        <v>1457789</v>
      </c>
      <c r="E168" s="14"/>
      <c r="F168" s="2"/>
      <c r="G168" s="14"/>
    </row>
    <row r="169" spans="1:7" ht="12.75">
      <c r="A169" s="5" t="s">
        <v>248</v>
      </c>
      <c r="B169" s="4" t="s">
        <v>77</v>
      </c>
      <c r="C169" s="8" t="str">
        <f>'RUF WORK FOR ALL'!C167</f>
        <v>Dr</v>
      </c>
      <c r="D169" s="9">
        <f>'RUF WORK FOR ALL'!D167</f>
        <v>16700766</v>
      </c>
      <c r="E169" s="14"/>
      <c r="G169" s="14"/>
    </row>
    <row r="170" spans="1:7" ht="12.75">
      <c r="A170" s="5" t="s">
        <v>275</v>
      </c>
      <c r="B170" s="4" t="s">
        <v>77</v>
      </c>
      <c r="C170" s="8" t="str">
        <f>'RUF WORK FOR ALL'!C174</f>
        <v>Dr</v>
      </c>
      <c r="D170" s="9">
        <f>'RUF WORK FOR ALL'!D174</f>
        <v>6866163</v>
      </c>
      <c r="E170" s="14"/>
      <c r="G170" s="14"/>
    </row>
    <row r="171" spans="1:7" ht="12.75">
      <c r="A171" s="5" t="s">
        <v>39</v>
      </c>
      <c r="B171" s="4" t="s">
        <v>77</v>
      </c>
      <c r="C171" s="8" t="str">
        <f>'RUF WORK FOR ALL'!C176</f>
        <v>Cr</v>
      </c>
      <c r="D171" s="9">
        <f>'RUF WORK FOR ALL'!D176</f>
        <v>32138916</v>
      </c>
      <c r="E171" s="14"/>
      <c r="G171" s="14"/>
    </row>
    <row r="172" spans="1:7" ht="12.75">
      <c r="A172" s="5" t="s">
        <v>36</v>
      </c>
      <c r="B172" s="4" t="s">
        <v>77</v>
      </c>
      <c r="C172" s="8" t="str">
        <f>'RUF WORK FOR ALL'!C185</f>
        <v>Dr</v>
      </c>
      <c r="D172" s="9">
        <f>'RUF WORK FOR ALL'!D185</f>
        <v>1127990</v>
      </c>
      <c r="E172" s="14"/>
      <c r="G172" s="14"/>
    </row>
    <row r="173" spans="1:7" ht="12.75">
      <c r="A173" s="5" t="s">
        <v>41</v>
      </c>
      <c r="B173" s="4" t="s">
        <v>77</v>
      </c>
      <c r="C173" s="8" t="str">
        <f>'RUF WORK FOR ALL'!C190</f>
        <v>Cr</v>
      </c>
      <c r="D173" s="9">
        <f>'RUF WORK FOR ALL'!D190</f>
        <v>28568517</v>
      </c>
      <c r="E173" s="14"/>
      <c r="G173" s="14"/>
    </row>
    <row r="174" spans="1:7" ht="12.75">
      <c r="A174" s="5" t="s">
        <v>38</v>
      </c>
      <c r="B174" s="4" t="s">
        <v>78</v>
      </c>
      <c r="C174" s="52" t="str">
        <f>'RUF WORK FOR ALL'!C144</f>
        <v>Dr</v>
      </c>
      <c r="D174" s="46">
        <f>'RUF WORK FOR ALL'!D144</f>
        <v>5036503</v>
      </c>
      <c r="E174" s="14">
        <f>D173+D171+D168-SUM(D169:D170)+D172+D174</f>
        <v>44762786</v>
      </c>
      <c r="F174" s="2" t="s">
        <v>37</v>
      </c>
      <c r="G174" s="14"/>
    </row>
    <row r="175" spans="1:7" ht="12.75">
      <c r="A175" s="5" t="s">
        <v>38</v>
      </c>
      <c r="B175" s="4" t="s">
        <v>224</v>
      </c>
      <c r="C175" s="8" t="str">
        <f>'RUF WORK FOR ALL'!C145</f>
        <v>Cr</v>
      </c>
      <c r="D175" s="9">
        <f>'RUF WORK FOR ALL'!D145</f>
        <v>49587</v>
      </c>
      <c r="E175" s="14"/>
      <c r="F175" s="2"/>
      <c r="G175" s="14"/>
    </row>
    <row r="176" spans="1:7" ht="12.75">
      <c r="A176" s="5" t="s">
        <v>77</v>
      </c>
      <c r="B176" s="4" t="s">
        <v>224</v>
      </c>
      <c r="C176" s="8" t="str">
        <f>'RUF WORK FOR ALL'!C152</f>
        <v>Dr</v>
      </c>
      <c r="D176" s="9">
        <f>'RUF WORK FOR ALL'!D152</f>
        <v>1457789</v>
      </c>
      <c r="G176" s="14"/>
    </row>
    <row r="177" spans="1:7" ht="12.75">
      <c r="A177" s="5" t="s">
        <v>248</v>
      </c>
      <c r="B177" s="4" t="s">
        <v>224</v>
      </c>
      <c r="C177" s="8" t="str">
        <f>'RUF WORK FOR ALL'!C163</f>
        <v>Cr</v>
      </c>
      <c r="D177" s="9">
        <f>'RUF WORK FOR ALL'!D163</f>
        <v>39308</v>
      </c>
      <c r="G177" s="14"/>
    </row>
    <row r="178" spans="1:7" ht="12.75">
      <c r="A178" s="5" t="s">
        <v>275</v>
      </c>
      <c r="B178" s="4" t="s">
        <v>224</v>
      </c>
      <c r="C178" s="8" t="str">
        <f>'RUF WORK FOR ALL'!C172</f>
        <v>Cr</v>
      </c>
      <c r="D178" s="9">
        <f>'RUF WORK FOR ALL'!D172</f>
        <v>311703</v>
      </c>
      <c r="G178" s="14"/>
    </row>
    <row r="179" spans="1:7" ht="12.75">
      <c r="A179" s="5" t="s">
        <v>39</v>
      </c>
      <c r="B179" s="4" t="s">
        <v>224</v>
      </c>
      <c r="C179" s="8" t="str">
        <f>'RUF WORK FOR ALL'!C177</f>
        <v>Cr</v>
      </c>
      <c r="D179" s="9">
        <f>'RUF WORK FOR ALL'!D177</f>
        <v>821208</v>
      </c>
      <c r="G179" s="14"/>
    </row>
    <row r="180" spans="1:7" ht="12.75">
      <c r="A180" s="5" t="s">
        <v>36</v>
      </c>
      <c r="B180" s="4" t="s">
        <v>224</v>
      </c>
      <c r="C180" s="8" t="str">
        <f>'RUF WORK FOR ALL'!C187</f>
        <v>Cr</v>
      </c>
      <c r="D180" s="9">
        <f>'RUF WORK FOR ALL'!D187</f>
        <v>1599339</v>
      </c>
      <c r="G180" s="14"/>
    </row>
    <row r="181" spans="1:7" ht="12.75">
      <c r="A181" s="5" t="s">
        <v>41</v>
      </c>
      <c r="B181" s="4" t="s">
        <v>224</v>
      </c>
      <c r="C181" s="52" t="str">
        <f>'RUF WORK FOR ALL'!C192</f>
        <v>Cr</v>
      </c>
      <c r="D181" s="46">
        <f>'RUF WORK FOR ALL'!D192</f>
        <v>2441295</v>
      </c>
      <c r="E181" s="14">
        <f>SUM(D177:D181)+D175-D176</f>
        <v>3804651</v>
      </c>
      <c r="F181" s="2" t="s">
        <v>37</v>
      </c>
      <c r="G181" s="14"/>
    </row>
    <row r="182" spans="1:7" ht="12.75">
      <c r="A182" s="5" t="s">
        <v>38</v>
      </c>
      <c r="B182" s="4" t="s">
        <v>223</v>
      </c>
      <c r="C182" s="8" t="str">
        <f>'RUF WORK FOR ALL'!C146</f>
        <v>Cr</v>
      </c>
      <c r="D182" s="9">
        <f>'RUF WORK FOR ALL'!D146</f>
        <v>199587</v>
      </c>
      <c r="E182" s="14"/>
      <c r="F182" s="2"/>
      <c r="G182" s="14"/>
    </row>
    <row r="183" spans="1:7" ht="12.75">
      <c r="A183" s="5" t="s">
        <v>77</v>
      </c>
      <c r="B183" s="4" t="s">
        <v>223</v>
      </c>
      <c r="C183" s="8" t="str">
        <f>'RUF WORK FOR ALL'!C153</f>
        <v>Cr</v>
      </c>
      <c r="D183" s="9">
        <f>'RUF WORK FOR ALL'!D153</f>
        <v>16700766</v>
      </c>
      <c r="E183" s="14"/>
      <c r="F183" s="2"/>
      <c r="G183" s="14"/>
    </row>
    <row r="184" spans="1:7" ht="12.75">
      <c r="A184" s="5" t="s">
        <v>217</v>
      </c>
      <c r="B184" s="4" t="s">
        <v>223</v>
      </c>
      <c r="C184" s="8" t="str">
        <f>'RUF WORK FOR ALL'!C159</f>
        <v>Dr</v>
      </c>
      <c r="D184" s="9">
        <f>'RUF WORK FOR ALL'!D159</f>
        <v>39308</v>
      </c>
      <c r="E184" s="14"/>
      <c r="F184" s="2"/>
      <c r="G184" s="14"/>
    </row>
    <row r="185" spans="1:7" ht="12.75">
      <c r="A185" s="5" t="s">
        <v>275</v>
      </c>
      <c r="B185" s="4" t="s">
        <v>223</v>
      </c>
      <c r="C185" s="8" t="str">
        <f>'RUF WORK FOR ALL'!C173</f>
        <v>Cr</v>
      </c>
      <c r="D185" s="9">
        <f>'RUF WORK FOR ALL'!D173</f>
        <v>1037376</v>
      </c>
      <c r="E185" s="14"/>
      <c r="F185" s="2"/>
      <c r="G185" s="14"/>
    </row>
    <row r="186" spans="1:7" ht="12.75">
      <c r="A186" s="5" t="s">
        <v>39</v>
      </c>
      <c r="B186" s="4" t="s">
        <v>223</v>
      </c>
      <c r="C186" s="8" t="str">
        <f>'RUF WORK FOR ALL'!C178</f>
        <v>Cr</v>
      </c>
      <c r="D186" s="9">
        <f>'RUF WORK FOR ALL'!D178</f>
        <v>3546768</v>
      </c>
      <c r="E186" s="14"/>
      <c r="F186" s="2"/>
      <c r="G186" s="14"/>
    </row>
    <row r="187" spans="1:7" ht="12.75">
      <c r="A187" s="5" t="s">
        <v>36</v>
      </c>
      <c r="B187" s="4" t="s">
        <v>398</v>
      </c>
      <c r="C187" s="8" t="str">
        <f>'RUF WORK FOR ALL'!C186</f>
        <v>Cr</v>
      </c>
      <c r="D187" s="9">
        <f>'RUF WORK FOR ALL'!D186</f>
        <v>2515075</v>
      </c>
      <c r="E187" s="14"/>
      <c r="F187" s="2"/>
      <c r="G187" s="14"/>
    </row>
    <row r="188" spans="1:7" ht="12.75">
      <c r="A188" s="5" t="s">
        <v>41</v>
      </c>
      <c r="B188" s="4" t="s">
        <v>223</v>
      </c>
      <c r="C188" s="52" t="str">
        <f>'RUF WORK FOR ALL'!C193</f>
        <v>Cr</v>
      </c>
      <c r="D188" s="46">
        <f>'RUF WORK FOR ALL'!D193</f>
        <v>11446330</v>
      </c>
      <c r="E188" s="14">
        <f>SUM(D185:D188)+SUM(D182:D183)-D184</f>
        <v>35406594</v>
      </c>
      <c r="F188" s="2" t="s">
        <v>37</v>
      </c>
      <c r="G188" s="14"/>
    </row>
    <row r="189" spans="1:7" ht="12.75">
      <c r="A189" s="5" t="s">
        <v>217</v>
      </c>
      <c r="B189" s="4" t="s">
        <v>12</v>
      </c>
      <c r="C189" s="53" t="e">
        <f>'RUF WORK FOR ALL'!#REF!</f>
        <v>#REF!</v>
      </c>
      <c r="D189" s="49" t="e">
        <f>'RUF WORK FOR ALL'!#REF!</f>
        <v>#REF!</v>
      </c>
      <c r="E189" s="14" t="e">
        <f>D189</f>
        <v>#REF!</v>
      </c>
      <c r="F189" s="2" t="s">
        <v>40</v>
      </c>
      <c r="G189" s="14"/>
    </row>
    <row r="190" spans="1:7" ht="12.75">
      <c r="A190" s="5" t="s">
        <v>38</v>
      </c>
      <c r="B190" s="4" t="s">
        <v>225</v>
      </c>
      <c r="C190" s="8" t="str">
        <f>'RUF WORK FOR ALL'!C147</f>
        <v>Cr</v>
      </c>
      <c r="D190" s="9">
        <f>'RUF WORK FOR ALL'!D147</f>
        <v>61351</v>
      </c>
      <c r="E190" s="48"/>
      <c r="F190" s="2"/>
      <c r="G190" s="14"/>
    </row>
    <row r="191" spans="1:7" ht="12.75">
      <c r="A191" s="5" t="s">
        <v>77</v>
      </c>
      <c r="B191" s="4" t="s">
        <v>225</v>
      </c>
      <c r="C191" s="8" t="str">
        <f>'RUF WORK FOR ALL'!C154</f>
        <v>Cr</v>
      </c>
      <c r="D191" s="9">
        <f>'RUF WORK FOR ALL'!D154</f>
        <v>6866163</v>
      </c>
      <c r="E191" s="4"/>
      <c r="F191" s="4"/>
      <c r="G191" s="14"/>
    </row>
    <row r="192" spans="1:7" ht="12.75">
      <c r="A192" s="5" t="s">
        <v>217</v>
      </c>
      <c r="B192" s="4" t="s">
        <v>225</v>
      </c>
      <c r="C192" s="8" t="str">
        <f>'RUF WORK FOR ALL'!C160</f>
        <v>Dr</v>
      </c>
      <c r="D192" s="9">
        <f>'RUF WORK FOR ALL'!D160</f>
        <v>311703</v>
      </c>
      <c r="E192" s="4"/>
      <c r="F192" s="4"/>
      <c r="G192" s="14"/>
    </row>
    <row r="193" spans="1:7" ht="12.75">
      <c r="A193" s="5" t="s">
        <v>248</v>
      </c>
      <c r="B193" s="4" t="s">
        <v>225</v>
      </c>
      <c r="C193" s="8" t="str">
        <f>'RUF WORK FOR ALL'!C168</f>
        <v>Dr</v>
      </c>
      <c r="D193" s="9">
        <f>'RUF WORK FOR ALL'!D168</f>
        <v>1037376</v>
      </c>
      <c r="E193" s="4"/>
      <c r="F193" s="4"/>
      <c r="G193" s="14"/>
    </row>
    <row r="194" spans="1:7" ht="12.75">
      <c r="A194" s="5" t="s">
        <v>39</v>
      </c>
      <c r="B194" s="4" t="s">
        <v>225</v>
      </c>
      <c r="C194" s="8" t="str">
        <f>'RUF WORK FOR ALL'!C179</f>
        <v>Cr</v>
      </c>
      <c r="D194" s="9">
        <f>'RUF WORK FOR ALL'!D179</f>
        <v>5854659</v>
      </c>
      <c r="E194" s="4"/>
      <c r="F194" s="4"/>
      <c r="G194" s="14"/>
    </row>
    <row r="195" spans="1:7" ht="12.75">
      <c r="A195" s="5" t="s">
        <v>36</v>
      </c>
      <c r="B195" s="4" t="s">
        <v>225</v>
      </c>
      <c r="C195" s="8" t="str">
        <f>'RUF WORK FOR ALL'!C189</f>
        <v>Dr</v>
      </c>
      <c r="D195" s="9">
        <f>'RUF WORK FOR ALL'!D189</f>
        <v>2549260</v>
      </c>
      <c r="E195" s="4"/>
      <c r="F195" s="4"/>
      <c r="G195" s="14"/>
    </row>
    <row r="196" spans="1:8" ht="12.75">
      <c r="A196" s="5" t="s">
        <v>41</v>
      </c>
      <c r="B196" s="4" t="s">
        <v>225</v>
      </c>
      <c r="C196" s="52" t="str">
        <f>'RUF WORK FOR ALL'!C195</f>
        <v>Dr</v>
      </c>
      <c r="D196" s="46">
        <f>'RUF WORK FOR ALL'!D195</f>
        <v>4710756</v>
      </c>
      <c r="E196" s="48">
        <f>SUM(D190:D191)+D194-SUM(D192:D193)-SUM(D195:D196)</f>
        <v>4173078</v>
      </c>
      <c r="F196" s="2" t="s">
        <v>37</v>
      </c>
      <c r="G196" s="14" t="e">
        <f>(SUM(E174:E188)+E196)-(SUM(E146:E167)+E189)</f>
        <v>#REF!</v>
      </c>
      <c r="H196" s="2" t="s">
        <v>37</v>
      </c>
    </row>
    <row r="197" spans="2:7" ht="12.75">
      <c r="B197" s="5"/>
      <c r="C197" s="5"/>
      <c r="D197" s="5"/>
      <c r="E197" s="48"/>
      <c r="F197" s="2"/>
      <c r="G197" s="14"/>
    </row>
    <row r="198" spans="3:7" ht="12.75">
      <c r="C198" s="2"/>
      <c r="D198" s="9"/>
      <c r="E198" s="4"/>
      <c r="F198" s="4"/>
      <c r="G198" s="14"/>
    </row>
    <row r="199" spans="2:7" ht="12.75">
      <c r="B199" s="1" t="s">
        <v>328</v>
      </c>
      <c r="C199" s="2"/>
      <c r="D199" s="3"/>
      <c r="G199" s="14"/>
    </row>
    <row r="200" spans="2:7" ht="15">
      <c r="B200" s="10" t="s">
        <v>2</v>
      </c>
      <c r="C200" s="17"/>
      <c r="D200" s="3" t="s">
        <v>3</v>
      </c>
      <c r="G200" s="14"/>
    </row>
    <row r="201" spans="2:7" ht="12.75">
      <c r="B201" s="11"/>
      <c r="C201" s="13"/>
      <c r="D201" s="12" t="s">
        <v>4</v>
      </c>
      <c r="G201" s="14"/>
    </row>
    <row r="202" spans="1:7" ht="12.75">
      <c r="A202" s="5" t="s">
        <v>36</v>
      </c>
      <c r="B202" s="16" t="s">
        <v>407</v>
      </c>
      <c r="C202" s="3"/>
      <c r="D202" s="9">
        <f>'RUF WORK FOR ALL'!D209</f>
        <v>5000</v>
      </c>
      <c r="G202" s="14"/>
    </row>
    <row r="203" spans="1:7" ht="12.75">
      <c r="A203" s="5" t="s">
        <v>77</v>
      </c>
      <c r="B203" s="4" t="s">
        <v>42</v>
      </c>
      <c r="C203" s="2"/>
      <c r="D203" s="9">
        <f>'RUF WORK FOR ALL'!D203</f>
        <v>177370</v>
      </c>
      <c r="E203" s="14"/>
      <c r="G203" s="14"/>
    </row>
    <row r="204" spans="1:7" ht="12.75">
      <c r="A204" s="5" t="s">
        <v>77</v>
      </c>
      <c r="B204" s="4" t="s">
        <v>43</v>
      </c>
      <c r="C204" s="2"/>
      <c r="D204" s="9">
        <f>'RUF WORK FOR ALL'!D204</f>
        <v>2700</v>
      </c>
      <c r="G204" s="14"/>
    </row>
    <row r="205" spans="1:7" ht="12.75">
      <c r="A205" s="5" t="s">
        <v>41</v>
      </c>
      <c r="B205" s="16" t="s">
        <v>427</v>
      </c>
      <c r="C205" s="3"/>
      <c r="D205" s="9">
        <f>'RUF WORK FOR ALL'!D212</f>
        <v>59955</v>
      </c>
      <c r="G205" s="14"/>
    </row>
    <row r="206" spans="1:7" ht="12.75">
      <c r="A206" s="5" t="s">
        <v>36</v>
      </c>
      <c r="B206" s="16" t="s">
        <v>408</v>
      </c>
      <c r="C206" s="3"/>
      <c r="D206" s="9">
        <f>'RUF WORK FOR ALL'!D210</f>
        <v>10000</v>
      </c>
      <c r="G206" s="14"/>
    </row>
    <row r="207" spans="1:7" ht="12.75">
      <c r="A207" s="5" t="s">
        <v>38</v>
      </c>
      <c r="B207" s="4" t="s">
        <v>94</v>
      </c>
      <c r="C207" s="2"/>
      <c r="D207" s="9">
        <f>'RUF WORK FOR ALL'!D201</f>
        <v>35465</v>
      </c>
      <c r="E207" s="14"/>
      <c r="G207" s="14"/>
    </row>
    <row r="208" spans="1:7" ht="12.75">
      <c r="A208" s="5" t="s">
        <v>36</v>
      </c>
      <c r="B208" s="16" t="s">
        <v>465</v>
      </c>
      <c r="C208" s="3"/>
      <c r="D208" s="9">
        <f>'RUF WORK FOR ALL'!D211</f>
        <v>6500</v>
      </c>
      <c r="G208" s="14"/>
    </row>
    <row r="209" spans="1:7" ht="12.75">
      <c r="A209" s="5" t="s">
        <v>39</v>
      </c>
      <c r="B209" s="4" t="s">
        <v>350</v>
      </c>
      <c r="C209" s="2"/>
      <c r="D209" s="9">
        <f>'RUF WORK FOR ALL'!D207</f>
        <v>27000</v>
      </c>
      <c r="E209" s="48"/>
      <c r="F209" s="4"/>
      <c r="G209" s="14"/>
    </row>
    <row r="210" spans="1:7" ht="12.75">
      <c r="A210" s="5" t="s">
        <v>39</v>
      </c>
      <c r="B210" s="16" t="s">
        <v>466</v>
      </c>
      <c r="C210" s="3"/>
      <c r="D210" s="9">
        <f>'RUF WORK FOR ALL'!D208</f>
        <v>12000</v>
      </c>
      <c r="E210" s="4"/>
      <c r="F210" s="4"/>
      <c r="G210" s="14"/>
    </row>
    <row r="211" spans="1:7" ht="12.75">
      <c r="A211" s="5" t="s">
        <v>38</v>
      </c>
      <c r="B211" s="4" t="s">
        <v>95</v>
      </c>
      <c r="C211" s="2"/>
      <c r="D211" s="9">
        <f>'RUF WORK FOR ALL'!D202</f>
        <v>2000</v>
      </c>
      <c r="E211" s="4"/>
      <c r="F211" s="4"/>
      <c r="G211" s="14"/>
    </row>
    <row r="212" spans="1:7" ht="12.75">
      <c r="A212" s="5" t="s">
        <v>41</v>
      </c>
      <c r="B212" s="16" t="s">
        <v>95</v>
      </c>
      <c r="C212" s="3"/>
      <c r="D212" s="9">
        <f>'RUF WORK FOR ALL'!D213</f>
        <v>23000</v>
      </c>
      <c r="E212" s="48"/>
      <c r="F212" s="4"/>
      <c r="G212" s="14"/>
    </row>
    <row r="213" spans="1:7" ht="12.75">
      <c r="A213" s="5" t="s">
        <v>77</v>
      </c>
      <c r="B213" s="4" t="s">
        <v>44</v>
      </c>
      <c r="C213" s="2"/>
      <c r="D213" s="9">
        <f>'RUF WORK FOR ALL'!D205</f>
        <v>112150</v>
      </c>
      <c r="E213" s="4"/>
      <c r="F213" s="4"/>
      <c r="G213" s="14"/>
    </row>
    <row r="214" spans="1:7" ht="12.75">
      <c r="A214" s="5" t="s">
        <v>77</v>
      </c>
      <c r="B214" s="4" t="s">
        <v>45</v>
      </c>
      <c r="C214" s="2"/>
      <c r="D214" s="46">
        <f>'RUF WORK FOR ALL'!D206</f>
        <v>1425</v>
      </c>
      <c r="E214" s="48">
        <f>SUM(D202:D214)</f>
        <v>474565</v>
      </c>
      <c r="F214" s="4"/>
      <c r="G214" s="14">
        <f>E214</f>
        <v>474565</v>
      </c>
    </row>
    <row r="215" spans="2:7" ht="12.75">
      <c r="B215" s="16"/>
      <c r="C215" s="3"/>
      <c r="D215" s="9"/>
      <c r="E215" s="4"/>
      <c r="F215" s="4"/>
      <c r="G215" s="14"/>
    </row>
    <row r="216" spans="2:7" ht="12.75">
      <c r="B216" s="1" t="s">
        <v>329</v>
      </c>
      <c r="C216" s="2"/>
      <c r="D216" s="45"/>
      <c r="E216" s="4"/>
      <c r="F216" s="4"/>
      <c r="G216" s="14"/>
    </row>
    <row r="217" spans="2:7" ht="15">
      <c r="B217" s="10" t="s">
        <v>2</v>
      </c>
      <c r="C217" s="11"/>
      <c r="D217" s="3" t="s">
        <v>3</v>
      </c>
      <c r="G217" s="14"/>
    </row>
    <row r="218" spans="2:7" ht="12.75">
      <c r="B218" s="11"/>
      <c r="C218" s="13"/>
      <c r="D218" s="12" t="s">
        <v>4</v>
      </c>
      <c r="G218" s="14"/>
    </row>
    <row r="219" spans="1:7" ht="12.75">
      <c r="A219" s="5" t="s">
        <v>77</v>
      </c>
      <c r="B219" s="4" t="s">
        <v>46</v>
      </c>
      <c r="D219" s="9">
        <f>'RUF WORK FOR ALL'!D219</f>
        <v>41045</v>
      </c>
      <c r="G219" s="14"/>
    </row>
    <row r="220" spans="1:7" ht="12.75" customHeight="1">
      <c r="A220" s="5" t="s">
        <v>39</v>
      </c>
      <c r="B220" s="4" t="s">
        <v>46</v>
      </c>
      <c r="D220" s="46">
        <f>'RUF WORK FOR ALL'!D221</f>
        <v>2600</v>
      </c>
      <c r="E220" s="14">
        <f>SUM(D219:D220)</f>
        <v>43645</v>
      </c>
      <c r="G220" s="14"/>
    </row>
    <row r="221" spans="1:7" ht="12.75" customHeight="1">
      <c r="A221" s="5" t="s">
        <v>39</v>
      </c>
      <c r="B221" s="4" t="s">
        <v>677</v>
      </c>
      <c r="D221" s="49">
        <v>4500</v>
      </c>
      <c r="E221" s="14">
        <f>D221</f>
        <v>4500</v>
      </c>
      <c r="G221" s="14"/>
    </row>
    <row r="222" spans="1:7" ht="12.75" customHeight="1">
      <c r="A222" s="5" t="s">
        <v>77</v>
      </c>
      <c r="B222" s="4" t="s">
        <v>47</v>
      </c>
      <c r="D222" s="9">
        <f>'RUF WORK FOR ALL'!D220</f>
        <v>67932</v>
      </c>
      <c r="G222" s="14"/>
    </row>
    <row r="223" spans="1:7" ht="12.75" customHeight="1">
      <c r="A223" s="5" t="s">
        <v>39</v>
      </c>
      <c r="B223" s="4" t="s">
        <v>47</v>
      </c>
      <c r="D223" s="9">
        <f>'RUF WORK FOR ALL'!D223</f>
        <v>202769</v>
      </c>
      <c r="G223" s="14"/>
    </row>
    <row r="224" spans="1:7" ht="12.75" customHeight="1">
      <c r="A224" s="5" t="s">
        <v>41</v>
      </c>
      <c r="B224" s="4" t="s">
        <v>47</v>
      </c>
      <c r="D224" s="46">
        <f>'RUF WORK FOR ALL'!D225</f>
        <v>3732279</v>
      </c>
      <c r="E224" s="14">
        <f>SUM(D222:D224)</f>
        <v>4002980</v>
      </c>
      <c r="G224" s="14"/>
    </row>
    <row r="225" spans="1:7" ht="12.75" customHeight="1">
      <c r="A225" s="5" t="s">
        <v>39</v>
      </c>
      <c r="B225" s="4" t="s">
        <v>349</v>
      </c>
      <c r="D225" s="9">
        <f>'RUF WORK FOR ALL'!D224</f>
        <v>158</v>
      </c>
      <c r="E225" s="14"/>
      <c r="G225" s="14"/>
    </row>
    <row r="226" spans="1:7" ht="12.75" customHeight="1">
      <c r="A226" s="5" t="s">
        <v>41</v>
      </c>
      <c r="B226" s="16" t="s">
        <v>349</v>
      </c>
      <c r="C226" s="16"/>
      <c r="D226" s="9">
        <f>'RUF WORK FOR ALL'!D226</f>
        <v>661</v>
      </c>
      <c r="E226" s="18"/>
      <c r="F226" s="16"/>
      <c r="G226" s="14"/>
    </row>
    <row r="227" spans="1:7" ht="12.75" customHeight="1">
      <c r="A227" s="5" t="s">
        <v>38</v>
      </c>
      <c r="B227" s="16" t="s">
        <v>349</v>
      </c>
      <c r="C227" s="16"/>
      <c r="D227" s="46">
        <v>218507.22</v>
      </c>
      <c r="E227" s="18">
        <f>SUM(D225:D227)</f>
        <v>219326.22</v>
      </c>
      <c r="F227" s="16"/>
      <c r="G227" s="14">
        <f>SUM(E220:E227)</f>
        <v>4270451.22</v>
      </c>
    </row>
    <row r="228" spans="2:7" ht="12.75" customHeight="1">
      <c r="B228" s="16"/>
      <c r="C228" s="16"/>
      <c r="D228" s="18"/>
      <c r="E228" s="16"/>
      <c r="F228" s="16"/>
      <c r="G228" s="14"/>
    </row>
    <row r="229" spans="2:7" ht="12.75">
      <c r="B229" s="1" t="s">
        <v>330</v>
      </c>
      <c r="C229" s="2"/>
      <c r="D229" s="3"/>
      <c r="G229" s="14"/>
    </row>
    <row r="230" spans="2:7" ht="15">
      <c r="B230" s="10" t="s">
        <v>2</v>
      </c>
      <c r="C230" s="11"/>
      <c r="D230" s="3" t="s">
        <v>3</v>
      </c>
      <c r="G230" s="14"/>
    </row>
    <row r="231" spans="2:7" ht="12.75">
      <c r="B231" s="11"/>
      <c r="C231" s="13"/>
      <c r="D231" s="12" t="s">
        <v>4</v>
      </c>
      <c r="G231" s="14"/>
    </row>
    <row r="232" spans="1:7" ht="12.75">
      <c r="A232" s="5" t="s">
        <v>39</v>
      </c>
      <c r="B232" s="4" t="s">
        <v>373</v>
      </c>
      <c r="D232" s="9">
        <f>'RUF WORK FOR ALL'!D251</f>
        <v>226332</v>
      </c>
      <c r="G232" s="14"/>
    </row>
    <row r="233" spans="1:7" ht="12.75">
      <c r="A233" s="5" t="s">
        <v>41</v>
      </c>
      <c r="B233" s="4" t="s">
        <v>428</v>
      </c>
      <c r="D233" s="9">
        <f>'RUF WORK FOR ALL'!D258</f>
        <v>33326</v>
      </c>
      <c r="G233" s="14"/>
    </row>
    <row r="234" spans="1:7" ht="12.75">
      <c r="A234" s="5" t="s">
        <v>36</v>
      </c>
      <c r="B234" s="4" t="s">
        <v>402</v>
      </c>
      <c r="D234" s="9">
        <f>'RUF WORK FOR ALL'!D254</f>
        <v>36010</v>
      </c>
      <c r="E234" s="14"/>
      <c r="G234" s="14"/>
    </row>
    <row r="235" spans="1:7" ht="12.75">
      <c r="A235" s="5" t="s">
        <v>77</v>
      </c>
      <c r="B235" s="4" t="s">
        <v>50</v>
      </c>
      <c r="D235" s="9">
        <f>'RUF WORK FOR ALL'!D236</f>
        <v>113607</v>
      </c>
      <c r="G235" s="14"/>
    </row>
    <row r="236" spans="1:7" ht="12.75">
      <c r="A236" s="5" t="s">
        <v>77</v>
      </c>
      <c r="B236" s="4" t="s">
        <v>51</v>
      </c>
      <c r="D236" s="46">
        <f>'RUF WORK FOR ALL'!D237</f>
        <v>370326</v>
      </c>
      <c r="E236" s="14">
        <f>SUM(D232:D236)</f>
        <v>779601</v>
      </c>
      <c r="G236" s="14"/>
    </row>
    <row r="237" spans="1:7" ht="12.75">
      <c r="A237" s="5" t="s">
        <v>77</v>
      </c>
      <c r="B237" s="4" t="s">
        <v>48</v>
      </c>
      <c r="D237" s="9">
        <f>'RUF WORK FOR ALL'!D234</f>
        <v>3003</v>
      </c>
      <c r="G237" s="14"/>
    </row>
    <row r="238" spans="1:7" ht="12.75">
      <c r="A238" s="5" t="s">
        <v>248</v>
      </c>
      <c r="B238" s="4" t="s">
        <v>48</v>
      </c>
      <c r="D238" s="9">
        <f>'RUF WORK FOR ALL'!D245</f>
        <v>4500</v>
      </c>
      <c r="G238" s="14"/>
    </row>
    <row r="239" spans="1:7" ht="12.75">
      <c r="A239" s="5" t="s">
        <v>275</v>
      </c>
      <c r="B239" s="4" t="s">
        <v>48</v>
      </c>
      <c r="D239" s="9">
        <f>'RUF WORK FOR ALL'!D247</f>
        <v>3271</v>
      </c>
      <c r="G239" s="14"/>
    </row>
    <row r="240" spans="1:7" ht="12.75">
      <c r="A240" s="5" t="s">
        <v>39</v>
      </c>
      <c r="B240" s="4" t="s">
        <v>48</v>
      </c>
      <c r="D240" s="9">
        <f>'RUF WORK FOR ALL'!D249</f>
        <v>1611</v>
      </c>
      <c r="G240" s="14"/>
    </row>
    <row r="241" spans="1:7" ht="12.75">
      <c r="A241" s="5" t="s">
        <v>41</v>
      </c>
      <c r="B241" s="4" t="s">
        <v>48</v>
      </c>
      <c r="D241" s="46">
        <f>'RUF WORK FOR ALL'!D256</f>
        <v>313</v>
      </c>
      <c r="E241" s="14">
        <f>SUM(D237:D241)</f>
        <v>12698</v>
      </c>
      <c r="G241" s="14"/>
    </row>
    <row r="242" spans="1:7" ht="12.75">
      <c r="A242" s="5" t="s">
        <v>39</v>
      </c>
      <c r="B242" s="4" t="s">
        <v>374</v>
      </c>
      <c r="D242" s="9">
        <f>'RUF WORK FOR ALL'!D252</f>
        <v>2543750</v>
      </c>
      <c r="G242" s="14"/>
    </row>
    <row r="243" spans="1:7" ht="12.75">
      <c r="A243" s="5" t="s">
        <v>38</v>
      </c>
      <c r="B243" s="4" t="s">
        <v>206</v>
      </c>
      <c r="D243" s="46">
        <f>'RUF WORK FOR ALL'!D231</f>
        <v>4196330</v>
      </c>
      <c r="E243" s="14">
        <f>SUM(D242:D243)</f>
        <v>6740080</v>
      </c>
      <c r="G243" s="14"/>
    </row>
    <row r="244" spans="4:7" ht="12.75" hidden="1">
      <c r="D244" s="9" t="e">
        <f>'RUF WORK FOR ALL'!#REF!</f>
        <v>#REF!</v>
      </c>
      <c r="G244" s="14"/>
    </row>
    <row r="245" spans="1:7" ht="12.75">
      <c r="A245" s="5" t="s">
        <v>77</v>
      </c>
      <c r="B245" s="4" t="s">
        <v>49</v>
      </c>
      <c r="D245" s="9">
        <f>'RUF WORK FOR ALL'!D235</f>
        <v>304404</v>
      </c>
      <c r="E245" s="14"/>
      <c r="G245" s="14"/>
    </row>
    <row r="246" spans="1:7" ht="12.75">
      <c r="A246" s="5" t="s">
        <v>39</v>
      </c>
      <c r="B246" s="4" t="s">
        <v>49</v>
      </c>
      <c r="D246" s="9">
        <f>'RUF WORK FOR ALL'!D250</f>
        <v>1055010</v>
      </c>
      <c r="E246" s="14"/>
      <c r="G246" s="14"/>
    </row>
    <row r="247" spans="1:7" ht="12.75">
      <c r="A247" s="5" t="s">
        <v>41</v>
      </c>
      <c r="B247" s="4" t="s">
        <v>49</v>
      </c>
      <c r="D247" s="46">
        <f>'RUF WORK FOR ALL'!D257</f>
        <v>4284860</v>
      </c>
      <c r="E247" s="14">
        <f>SUM(D245:D247)</f>
        <v>5644274</v>
      </c>
      <c r="G247" s="14"/>
    </row>
    <row r="248" spans="1:7" ht="12.75">
      <c r="A248" s="5" t="s">
        <v>77</v>
      </c>
      <c r="B248" s="4" t="s">
        <v>52</v>
      </c>
      <c r="D248" s="9">
        <f>'RUF WORK FOR ALL'!D238</f>
        <v>741460</v>
      </c>
      <c r="E248" s="14"/>
      <c r="G248" s="14"/>
    </row>
    <row r="249" spans="1:7" ht="12.75">
      <c r="A249" s="5" t="s">
        <v>39</v>
      </c>
      <c r="B249" s="4" t="s">
        <v>375</v>
      </c>
      <c r="D249" s="9">
        <f>'RUF WORK FOR ALL'!D253</f>
        <v>1385331</v>
      </c>
      <c r="E249" s="14"/>
      <c r="G249" s="14"/>
    </row>
    <row r="250" spans="1:7" ht="12.75">
      <c r="A250" s="5" t="s">
        <v>41</v>
      </c>
      <c r="B250" s="4" t="s">
        <v>429</v>
      </c>
      <c r="D250" s="9">
        <f>'RUF WORK FOR ALL'!D259</f>
        <v>419963</v>
      </c>
      <c r="E250" s="14"/>
      <c r="G250" s="14"/>
    </row>
    <row r="251" spans="1:7" ht="12.75">
      <c r="A251" s="5" t="s">
        <v>41</v>
      </c>
      <c r="B251" s="4" t="s">
        <v>430</v>
      </c>
      <c r="D251" s="9">
        <f>'RUF WORK FOR ALL'!D260</f>
        <v>1079148</v>
      </c>
      <c r="E251" s="14"/>
      <c r="G251" s="14"/>
    </row>
    <row r="252" spans="1:7" ht="12.75">
      <c r="A252" s="5" t="s">
        <v>77</v>
      </c>
      <c r="B252" s="4" t="s">
        <v>54</v>
      </c>
      <c r="D252" s="9">
        <f>'RUF WORK FOR ALL'!D240</f>
        <v>14969</v>
      </c>
      <c r="E252" s="14"/>
      <c r="G252" s="14"/>
    </row>
    <row r="253" spans="1:7" ht="12.75">
      <c r="A253" s="5" t="s">
        <v>275</v>
      </c>
      <c r="B253" s="4" t="s">
        <v>277</v>
      </c>
      <c r="D253" s="9">
        <f>'RUF WORK FOR ALL'!D248</f>
        <v>492416</v>
      </c>
      <c r="E253" s="14"/>
      <c r="G253" s="14"/>
    </row>
    <row r="254" spans="1:7" ht="12.75">
      <c r="A254" s="5" t="s">
        <v>36</v>
      </c>
      <c r="B254" s="4" t="s">
        <v>403</v>
      </c>
      <c r="D254" s="9">
        <f>'RUF WORK FOR ALL'!D255</f>
        <v>151673</v>
      </c>
      <c r="E254" s="14"/>
      <c r="G254" s="14"/>
    </row>
    <row r="255" spans="1:7" ht="12.75">
      <c r="A255" s="5" t="s">
        <v>38</v>
      </c>
      <c r="B255" s="4" t="s">
        <v>207</v>
      </c>
      <c r="D255" s="9">
        <f>'RUF WORK FOR ALL'!D232</f>
        <v>2050</v>
      </c>
      <c r="E255" s="14"/>
      <c r="G255" s="14"/>
    </row>
    <row r="256" spans="1:7" ht="12.75">
      <c r="A256" s="5" t="s">
        <v>217</v>
      </c>
      <c r="B256" s="4" t="s">
        <v>207</v>
      </c>
      <c r="D256" s="9">
        <f>'RUF WORK FOR ALL'!D244</f>
        <v>231078</v>
      </c>
      <c r="E256" s="14"/>
      <c r="G256" s="14"/>
    </row>
    <row r="257" spans="1:7" ht="12.75">
      <c r="A257" s="5" t="s">
        <v>248</v>
      </c>
      <c r="B257" s="4" t="s">
        <v>251</v>
      </c>
      <c r="D257" s="9">
        <f>'RUF WORK FOR ALL'!D246</f>
        <v>217454</v>
      </c>
      <c r="E257" s="14"/>
      <c r="G257" s="14"/>
    </row>
    <row r="258" spans="1:7" ht="12.75">
      <c r="A258" s="5" t="s">
        <v>77</v>
      </c>
      <c r="B258" s="4" t="s">
        <v>53</v>
      </c>
      <c r="D258" s="9">
        <f>'RUF WORK FOR ALL'!D239</f>
        <v>11757</v>
      </c>
      <c r="E258" s="14"/>
      <c r="G258" s="14"/>
    </row>
    <row r="259" spans="1:7" ht="12.75">
      <c r="A259" s="5" t="s">
        <v>77</v>
      </c>
      <c r="B259" s="4" t="s">
        <v>55</v>
      </c>
      <c r="D259" s="46">
        <f>'RUF WORK FOR ALL'!D241</f>
        <v>34860</v>
      </c>
      <c r="E259" s="48">
        <f>SUM(D248:D259)</f>
        <v>4782159</v>
      </c>
      <c r="F259" s="4"/>
      <c r="G259" s="14"/>
    </row>
    <row r="260" spans="1:7" ht="12.75">
      <c r="A260" s="5" t="s">
        <v>38</v>
      </c>
      <c r="B260" s="4" t="s">
        <v>208</v>
      </c>
      <c r="D260" s="9">
        <f>'RUF WORK FOR ALL'!D233</f>
        <v>18193</v>
      </c>
      <c r="E260" s="4"/>
      <c r="F260" s="4"/>
      <c r="G260" s="14"/>
    </row>
    <row r="261" spans="1:7" ht="12.75">
      <c r="A261" s="5" t="s">
        <v>77</v>
      </c>
      <c r="B261" s="4" t="s">
        <v>56</v>
      </c>
      <c r="D261" s="46">
        <f>'RUF WORK FOR ALL'!D242</f>
        <v>23259</v>
      </c>
      <c r="E261" s="48">
        <f>SUM(D260:D261)</f>
        <v>41452</v>
      </c>
      <c r="F261" s="4"/>
      <c r="G261" s="14"/>
    </row>
    <row r="262" spans="1:7" ht="12.75">
      <c r="A262" s="5" t="s">
        <v>41</v>
      </c>
      <c r="B262" s="4" t="s">
        <v>431</v>
      </c>
      <c r="D262" s="46">
        <f>'RUF WORK FOR ALL'!D261</f>
        <v>20562</v>
      </c>
      <c r="E262" s="48">
        <f>D262</f>
        <v>20562</v>
      </c>
      <c r="F262" s="4"/>
      <c r="G262" s="14"/>
    </row>
    <row r="263" spans="1:7" ht="12.75">
      <c r="A263" s="5" t="s">
        <v>77</v>
      </c>
      <c r="B263" s="4" t="s">
        <v>57</v>
      </c>
      <c r="D263" s="46">
        <f>'RUF WORK FOR ALL'!D243</f>
        <v>10334</v>
      </c>
      <c r="E263" s="48">
        <f>D263</f>
        <v>10334</v>
      </c>
      <c r="F263" s="4"/>
      <c r="G263" s="14">
        <f>SUM(E232:E263)</f>
        <v>18031160</v>
      </c>
    </row>
    <row r="264" spans="4:7" ht="12.75">
      <c r="D264" s="9"/>
      <c r="E264" s="4"/>
      <c r="F264" s="4"/>
      <c r="G264" s="14"/>
    </row>
    <row r="270" spans="4:7" ht="12.75">
      <c r="D270" s="9"/>
      <c r="G270" s="14"/>
    </row>
    <row r="271" spans="2:7" ht="12.75">
      <c r="B271" s="1" t="s">
        <v>331</v>
      </c>
      <c r="C271" s="2"/>
      <c r="D271" s="45"/>
      <c r="G271" s="14"/>
    </row>
    <row r="272" spans="2:7" ht="15">
      <c r="B272" s="10" t="s">
        <v>2</v>
      </c>
      <c r="C272" s="11"/>
      <c r="D272" s="3" t="s">
        <v>3</v>
      </c>
      <c r="G272" s="14"/>
    </row>
    <row r="273" spans="2:7" ht="12.75">
      <c r="B273" s="11"/>
      <c r="C273" s="13"/>
      <c r="D273" s="12" t="s">
        <v>4</v>
      </c>
      <c r="G273" s="14"/>
    </row>
    <row r="274" spans="1:7" ht="12.75">
      <c r="A274" s="5" t="s">
        <v>39</v>
      </c>
      <c r="B274" s="4" t="s">
        <v>352</v>
      </c>
      <c r="D274" s="9">
        <f>'RUF WORK FOR ALL'!D280</f>
        <v>16730</v>
      </c>
      <c r="G274" s="14"/>
    </row>
    <row r="275" spans="1:7" ht="12.75">
      <c r="A275" s="5" t="s">
        <v>36</v>
      </c>
      <c r="B275" s="4" t="s">
        <v>352</v>
      </c>
      <c r="D275" s="9">
        <f>'RUF WORK FOR ALL'!D284</f>
        <v>4972</v>
      </c>
      <c r="G275" s="14"/>
    </row>
    <row r="276" spans="1:7" ht="12.75">
      <c r="A276" s="5" t="s">
        <v>41</v>
      </c>
      <c r="B276" s="4" t="s">
        <v>352</v>
      </c>
      <c r="D276" s="9">
        <f>'RUF WORK FOR ALL'!D286</f>
        <v>13240</v>
      </c>
      <c r="G276" s="14"/>
    </row>
    <row r="277" spans="1:7" ht="12.75">
      <c r="A277" s="5" t="s">
        <v>217</v>
      </c>
      <c r="B277" s="4" t="s">
        <v>352</v>
      </c>
      <c r="D277" s="9">
        <f>'RUF WORK FOR ALL'!D276</f>
        <v>3419</v>
      </c>
      <c r="E277" s="14"/>
      <c r="G277" s="14"/>
    </row>
    <row r="278" spans="1:7" ht="12.75">
      <c r="A278" s="5" t="s">
        <v>248</v>
      </c>
      <c r="B278" s="4" t="s">
        <v>352</v>
      </c>
      <c r="D278" s="46">
        <f>'RUF WORK FOR ALL'!D277</f>
        <v>32763</v>
      </c>
      <c r="E278" s="14">
        <f>SUM(D274:D278)</f>
        <v>71124</v>
      </c>
      <c r="G278" s="14"/>
    </row>
    <row r="279" spans="1:7" ht="12.75">
      <c r="A279" s="5" t="s">
        <v>77</v>
      </c>
      <c r="B279" s="4" t="s">
        <v>58</v>
      </c>
      <c r="D279" s="9">
        <f>'RUF WORK FOR ALL'!D272</f>
        <v>39029</v>
      </c>
      <c r="E279" s="14"/>
      <c r="G279" s="14"/>
    </row>
    <row r="280" spans="1:7" ht="12.75">
      <c r="A280" s="5" t="s">
        <v>275</v>
      </c>
      <c r="B280" s="4" t="s">
        <v>58</v>
      </c>
      <c r="D280" s="9">
        <f>'RUF WORK FOR ALL'!D278</f>
        <v>210015</v>
      </c>
      <c r="E280" s="14"/>
      <c r="G280" s="14"/>
    </row>
    <row r="281" spans="1:7" ht="12.75">
      <c r="A281" s="5" t="s">
        <v>39</v>
      </c>
      <c r="B281" s="4" t="s">
        <v>58</v>
      </c>
      <c r="D281" s="9">
        <f>'RUF WORK FOR ALL'!D281</f>
        <v>167430</v>
      </c>
      <c r="E281" s="14"/>
      <c r="G281" s="14"/>
    </row>
    <row r="282" spans="1:7" ht="12.75">
      <c r="A282" s="5" t="s">
        <v>36</v>
      </c>
      <c r="B282" s="4" t="s">
        <v>58</v>
      </c>
      <c r="D282" s="9">
        <f>'RUF WORK FOR ALL'!D285</f>
        <v>9673</v>
      </c>
      <c r="E282" s="14"/>
      <c r="G282" s="14"/>
    </row>
    <row r="283" spans="1:7" ht="12.75">
      <c r="A283" s="5" t="s">
        <v>41</v>
      </c>
      <c r="B283" s="4" t="s">
        <v>58</v>
      </c>
      <c r="D283" s="46">
        <f>'RUF WORK FOR ALL'!D287</f>
        <v>31806</v>
      </c>
      <c r="E283" s="14">
        <f>SUM(D279:D283)</f>
        <v>457953</v>
      </c>
      <c r="G283" s="14"/>
    </row>
    <row r="284" spans="1:7" ht="12.75">
      <c r="A284" s="5" t="s">
        <v>39</v>
      </c>
      <c r="B284" s="4" t="s">
        <v>353</v>
      </c>
      <c r="D284" s="9">
        <f>'RUF WORK FOR ALL'!D282</f>
        <v>157500</v>
      </c>
      <c r="E284" s="14"/>
      <c r="G284" s="14"/>
    </row>
    <row r="285" spans="1:7" ht="12.75">
      <c r="A285" s="5" t="s">
        <v>41</v>
      </c>
      <c r="B285" s="4" t="s">
        <v>353</v>
      </c>
      <c r="D285" s="46">
        <f>'RUF WORK FOR ALL'!D288</f>
        <v>100000</v>
      </c>
      <c r="E285" s="14">
        <f>SUM(D284:D285)</f>
        <v>257500</v>
      </c>
      <c r="G285" s="14"/>
    </row>
    <row r="286" spans="1:7" ht="12.75">
      <c r="A286" s="5" t="s">
        <v>77</v>
      </c>
      <c r="B286" s="4" t="s">
        <v>59</v>
      </c>
      <c r="D286" s="46">
        <f>'RUF WORK FOR ALL'!D273</f>
        <v>41329</v>
      </c>
      <c r="E286" s="14">
        <f>D286</f>
        <v>41329</v>
      </c>
      <c r="G286" s="14"/>
    </row>
    <row r="287" spans="1:7" ht="12.75">
      <c r="A287" s="5" t="s">
        <v>77</v>
      </c>
      <c r="B287" s="4" t="s">
        <v>60</v>
      </c>
      <c r="D287" s="9">
        <f>'RUF WORK FOR ALL'!D274</f>
        <v>7289</v>
      </c>
      <c r="E287" s="14"/>
      <c r="G287" s="14"/>
    </row>
    <row r="288" spans="1:7" ht="12.75">
      <c r="A288" s="5" t="s">
        <v>39</v>
      </c>
      <c r="B288" s="4" t="s">
        <v>60</v>
      </c>
      <c r="D288" s="9">
        <f>'RUF WORK FOR ALL'!D283</f>
        <v>27001</v>
      </c>
      <c r="E288" s="14"/>
      <c r="G288" s="14"/>
    </row>
    <row r="289" spans="1:7" ht="12.75">
      <c r="A289" s="5" t="s">
        <v>41</v>
      </c>
      <c r="B289" s="4" t="s">
        <v>60</v>
      </c>
      <c r="D289" s="46">
        <f>'RUF WORK FOR ALL'!D289</f>
        <v>32400</v>
      </c>
      <c r="E289" s="14">
        <f>SUM(D287:D289)</f>
        <v>66690</v>
      </c>
      <c r="G289" s="14"/>
    </row>
    <row r="290" spans="1:7" ht="12.75">
      <c r="A290" s="5" t="s">
        <v>77</v>
      </c>
      <c r="B290" s="4" t="s">
        <v>61</v>
      </c>
      <c r="D290" s="46">
        <f>'RUF WORK FOR ALL'!D275</f>
        <v>39297</v>
      </c>
      <c r="E290" s="14">
        <f>D290</f>
        <v>39297</v>
      </c>
      <c r="G290" s="14"/>
    </row>
    <row r="291" spans="1:7" ht="12.75">
      <c r="A291" s="5" t="s">
        <v>275</v>
      </c>
      <c r="B291" s="4" t="s">
        <v>276</v>
      </c>
      <c r="D291" s="46">
        <f>'RUF WORK FOR ALL'!D279</f>
        <v>27150</v>
      </c>
      <c r="E291" s="14">
        <f>D291</f>
        <v>27150</v>
      </c>
      <c r="G291" s="14">
        <f>SUM(E274:E291)</f>
        <v>961043</v>
      </c>
    </row>
    <row r="292" spans="2:7" ht="12.75">
      <c r="B292" s="7"/>
      <c r="D292" s="9"/>
      <c r="G292" s="14"/>
    </row>
    <row r="293" spans="2:7" ht="12.75">
      <c r="B293" s="1" t="s">
        <v>721</v>
      </c>
      <c r="C293" s="2"/>
      <c r="D293" s="3"/>
      <c r="G293" s="14"/>
    </row>
    <row r="294" spans="2:7" ht="15">
      <c r="B294" s="10" t="s">
        <v>2</v>
      </c>
      <c r="C294" s="11"/>
      <c r="D294" s="3" t="s">
        <v>3</v>
      </c>
      <c r="G294" s="14"/>
    </row>
    <row r="295" spans="2:7" ht="12.75">
      <c r="B295" s="11"/>
      <c r="C295" s="13"/>
      <c r="D295" s="12" t="s">
        <v>4</v>
      </c>
      <c r="G295" s="14"/>
    </row>
    <row r="296" spans="1:7" ht="12.75">
      <c r="A296" s="5" t="s">
        <v>36</v>
      </c>
      <c r="B296" s="4" t="s">
        <v>399</v>
      </c>
      <c r="D296" s="46">
        <f>'RUF WORK FOR ALL'!D301</f>
        <v>1667</v>
      </c>
      <c r="E296" s="14">
        <f>D296</f>
        <v>1667</v>
      </c>
      <c r="G296" s="14"/>
    </row>
    <row r="297" spans="1:7" ht="12.75">
      <c r="A297" s="5" t="s">
        <v>38</v>
      </c>
      <c r="B297" s="4" t="s">
        <v>89</v>
      </c>
      <c r="D297" s="9">
        <f>'RUF WORK FOR ALL'!D294</f>
        <v>8265</v>
      </c>
      <c r="E297" s="14"/>
      <c r="G297" s="14"/>
    </row>
    <row r="298" spans="1:7" ht="12.75">
      <c r="A298" s="5" t="s">
        <v>36</v>
      </c>
      <c r="B298" s="4" t="s">
        <v>89</v>
      </c>
      <c r="D298" s="9">
        <f>'RUF WORK FOR ALL'!D302</f>
        <v>2755</v>
      </c>
      <c r="G298" s="14"/>
    </row>
    <row r="299" spans="1:7" ht="12.75">
      <c r="A299" s="5" t="s">
        <v>77</v>
      </c>
      <c r="B299" s="4" t="s">
        <v>89</v>
      </c>
      <c r="D299" s="9">
        <f>'RUF WORK FOR ALL'!D296</f>
        <v>5510</v>
      </c>
      <c r="E299" s="14"/>
      <c r="G299" s="14"/>
    </row>
    <row r="300" spans="1:7" ht="12.75">
      <c r="A300" s="5" t="s">
        <v>217</v>
      </c>
      <c r="B300" s="4" t="s">
        <v>89</v>
      </c>
      <c r="D300" s="9">
        <f>'RUF WORK FOR ALL'!D297</f>
        <v>2755</v>
      </c>
      <c r="E300" s="14"/>
      <c r="G300" s="14"/>
    </row>
    <row r="301" spans="1:7" ht="12.75">
      <c r="A301" s="5" t="s">
        <v>248</v>
      </c>
      <c r="B301" s="4" t="s">
        <v>89</v>
      </c>
      <c r="D301" s="9">
        <f>'RUF WORK FOR ALL'!D298</f>
        <v>2755</v>
      </c>
      <c r="E301" s="14"/>
      <c r="G301" s="14"/>
    </row>
    <row r="302" spans="1:7" ht="12.75">
      <c r="A302" s="5" t="s">
        <v>275</v>
      </c>
      <c r="B302" s="4" t="s">
        <v>89</v>
      </c>
      <c r="D302" s="9">
        <f>'RUF WORK FOR ALL'!D299</f>
        <v>2755</v>
      </c>
      <c r="E302" s="14"/>
      <c r="G302" s="14"/>
    </row>
    <row r="303" spans="1:7" ht="12.75">
      <c r="A303" s="5" t="s">
        <v>39</v>
      </c>
      <c r="B303" s="4" t="s">
        <v>89</v>
      </c>
      <c r="D303" s="9">
        <f>'RUF WORK FOR ALL'!D300</f>
        <v>5510</v>
      </c>
      <c r="E303" s="14"/>
      <c r="G303" s="14"/>
    </row>
    <row r="304" spans="1:7" ht="12.75">
      <c r="A304" s="5" t="s">
        <v>41</v>
      </c>
      <c r="B304" s="4" t="s">
        <v>89</v>
      </c>
      <c r="D304" s="46">
        <f>'RUF WORK FOR ALL'!D303</f>
        <v>5510</v>
      </c>
      <c r="E304" s="14">
        <f>SUM(D297:D304)</f>
        <v>35815</v>
      </c>
      <c r="G304" s="14"/>
    </row>
    <row r="305" spans="1:7" ht="12.75">
      <c r="A305" s="5" t="s">
        <v>38</v>
      </c>
      <c r="B305" s="4" t="s">
        <v>90</v>
      </c>
      <c r="D305" s="46">
        <f>'RUF WORK FOR ALL'!D295</f>
        <v>45935</v>
      </c>
      <c r="E305" s="14">
        <f>D305</f>
        <v>45935</v>
      </c>
      <c r="G305" s="14">
        <f>SUM(E296:E305)</f>
        <v>83417</v>
      </c>
    </row>
    <row r="306" spans="2:7" ht="12.75">
      <c r="B306" s="7"/>
      <c r="D306" s="9"/>
      <c r="G306" s="14"/>
    </row>
    <row r="307" spans="2:7" ht="12.75">
      <c r="B307" s="1" t="s">
        <v>452</v>
      </c>
      <c r="C307" s="2"/>
      <c r="D307" s="3"/>
      <c r="G307" s="14"/>
    </row>
    <row r="308" spans="2:7" ht="15">
      <c r="B308" s="10" t="s">
        <v>2</v>
      </c>
      <c r="C308" s="11"/>
      <c r="D308" s="3" t="s">
        <v>3</v>
      </c>
      <c r="G308" s="14"/>
    </row>
    <row r="309" spans="2:7" ht="12.75">
      <c r="B309" s="11"/>
      <c r="C309" s="13"/>
      <c r="D309" s="12" t="s">
        <v>4</v>
      </c>
      <c r="G309" s="14"/>
    </row>
    <row r="310" spans="1:7" ht="12.75">
      <c r="A310" s="5" t="s">
        <v>453</v>
      </c>
      <c r="B310" s="4" t="s">
        <v>160</v>
      </c>
      <c r="D310" s="9">
        <f>'RUF WORK FOR ALL'!D308</f>
        <v>689332</v>
      </c>
      <c r="G310" s="14"/>
    </row>
    <row r="311" spans="1:7" ht="12.75">
      <c r="A311" s="5" t="s">
        <v>39</v>
      </c>
      <c r="B311" s="4" t="s">
        <v>160</v>
      </c>
      <c r="D311" s="9">
        <f>'RUF WORK FOR ALL'!D309</f>
        <v>4838750</v>
      </c>
      <c r="G311" s="14"/>
    </row>
    <row r="312" spans="1:7" ht="12.75">
      <c r="A312" s="5" t="s">
        <v>41</v>
      </c>
      <c r="B312" s="4" t="s">
        <v>462</v>
      </c>
      <c r="D312" s="46">
        <f>'RUF WORK FOR ALL'!D310</f>
        <v>1056243</v>
      </c>
      <c r="E312" s="14">
        <f>SUM(D310:D312)</f>
        <v>6584325</v>
      </c>
      <c r="G312" s="14">
        <f>E312</f>
        <v>6584325</v>
      </c>
    </row>
    <row r="313" spans="2:7" ht="12.75">
      <c r="B313" s="7"/>
      <c r="D313" s="9"/>
      <c r="G313" s="14"/>
    </row>
    <row r="314" spans="2:7" ht="12.75">
      <c r="B314" s="1" t="s">
        <v>332</v>
      </c>
      <c r="C314" s="2"/>
      <c r="D314" s="3"/>
      <c r="G314" s="14"/>
    </row>
    <row r="315" spans="2:7" ht="15">
      <c r="B315" s="10" t="s">
        <v>2</v>
      </c>
      <c r="C315" s="154" t="s">
        <v>3</v>
      </c>
      <c r="D315" s="154"/>
      <c r="G315" s="14"/>
    </row>
    <row r="316" spans="2:7" ht="12.75">
      <c r="B316" s="3"/>
      <c r="C316" s="154" t="s">
        <v>4</v>
      </c>
      <c r="D316" s="154"/>
      <c r="G316" s="14"/>
    </row>
    <row r="317" spans="1:7" ht="12.75">
      <c r="A317" s="5" t="s">
        <v>38</v>
      </c>
      <c r="B317" s="4" t="s">
        <v>79</v>
      </c>
      <c r="C317" s="8" t="str">
        <f>'RUF WORK FOR ALL'!C315</f>
        <v>Cr</v>
      </c>
      <c r="D317" s="9">
        <f>'RUF WORK FOR ALL'!D315</f>
        <v>14000</v>
      </c>
      <c r="G317" s="14"/>
    </row>
    <row r="318" spans="1:7" ht="12.75">
      <c r="A318" s="5" t="s">
        <v>38</v>
      </c>
      <c r="B318" s="4" t="s">
        <v>81</v>
      </c>
      <c r="C318" s="8" t="str">
        <f>'RUF WORK FOR ALL'!C317</f>
        <v>Cr</v>
      </c>
      <c r="D318" s="9">
        <f>'RUF WORK FOR ALL'!D317</f>
        <v>6375</v>
      </c>
      <c r="G318" s="14"/>
    </row>
    <row r="319" spans="1:7" ht="12.75">
      <c r="A319" s="5" t="s">
        <v>38</v>
      </c>
      <c r="B319" s="4" t="s">
        <v>80</v>
      </c>
      <c r="C319" s="8" t="str">
        <f>'RUF WORK FOR ALL'!C316</f>
        <v>Cr</v>
      </c>
      <c r="D319" s="9">
        <f>'RUF WORK FOR ALL'!D316</f>
        <v>11000</v>
      </c>
      <c r="G319" s="14"/>
    </row>
    <row r="320" spans="1:7" ht="12.75">
      <c r="A320" s="5" t="s">
        <v>38</v>
      </c>
      <c r="B320" s="4" t="s">
        <v>82</v>
      </c>
      <c r="C320" s="8" t="str">
        <f>'RUF WORK FOR ALL'!C318</f>
        <v>Cr</v>
      </c>
      <c r="D320" s="9">
        <f>'RUF WORK FOR ALL'!D318</f>
        <v>18500</v>
      </c>
      <c r="G320" s="14"/>
    </row>
    <row r="321" spans="1:7" ht="12.75">
      <c r="A321" s="5" t="s">
        <v>38</v>
      </c>
      <c r="B321" s="4" t="s">
        <v>83</v>
      </c>
      <c r="C321" s="8" t="str">
        <f>'RUF WORK FOR ALL'!C319</f>
        <v>Cr</v>
      </c>
      <c r="D321" s="9">
        <f>'RUF WORK FOR ALL'!D319</f>
        <v>11500</v>
      </c>
      <c r="G321" s="14"/>
    </row>
    <row r="322" spans="1:7" ht="12.75">
      <c r="A322" s="5" t="s">
        <v>38</v>
      </c>
      <c r="B322" s="4" t="s">
        <v>84</v>
      </c>
      <c r="C322" s="8" t="str">
        <f>'RUF WORK FOR ALL'!C320</f>
        <v>Cr</v>
      </c>
      <c r="D322" s="9">
        <f>'RUF WORK FOR ALL'!D320</f>
        <v>10000</v>
      </c>
      <c r="G322" s="14"/>
    </row>
    <row r="323" spans="1:7" ht="12.75">
      <c r="A323" s="5" t="s">
        <v>38</v>
      </c>
      <c r="B323" s="4" t="s">
        <v>85</v>
      </c>
      <c r="C323" s="8" t="str">
        <f>'RUF WORK FOR ALL'!C321</f>
        <v>Cr</v>
      </c>
      <c r="D323" s="9">
        <f>'RUF WORK FOR ALL'!D321</f>
        <v>4570</v>
      </c>
      <c r="G323" s="14"/>
    </row>
    <row r="324" spans="1:7" ht="12.75">
      <c r="A324" s="5" t="s">
        <v>38</v>
      </c>
      <c r="B324" s="4" t="s">
        <v>86</v>
      </c>
      <c r="C324" s="8" t="str">
        <f>'RUF WORK FOR ALL'!C322</f>
        <v>Cr</v>
      </c>
      <c r="D324" s="9">
        <f>'RUF WORK FOR ALL'!D322</f>
        <v>11000</v>
      </c>
      <c r="G324" s="14"/>
    </row>
    <row r="325" spans="1:7" ht="12.75">
      <c r="A325" s="5" t="s">
        <v>38</v>
      </c>
      <c r="B325" s="4" t="s">
        <v>87</v>
      </c>
      <c r="C325" s="8" t="str">
        <f>'RUF WORK FOR ALL'!C323</f>
        <v>Cr</v>
      </c>
      <c r="D325" s="9">
        <f>'RUF WORK FOR ALL'!D323</f>
        <v>4000</v>
      </c>
      <c r="G325" s="14"/>
    </row>
    <row r="326" spans="1:7" ht="12.75">
      <c r="A326" s="5" t="s">
        <v>38</v>
      </c>
      <c r="B326" s="4" t="s">
        <v>88</v>
      </c>
      <c r="C326" s="52" t="str">
        <f>'RUF WORK FOR ALL'!C324</f>
        <v>Cr</v>
      </c>
      <c r="D326" s="46">
        <f>'RUF WORK FOR ALL'!D324</f>
        <v>10000</v>
      </c>
      <c r="E326" s="9">
        <f>SUM(D317:D326)</f>
        <v>100945</v>
      </c>
      <c r="G326" s="14"/>
    </row>
    <row r="327" spans="2:7" ht="12.75">
      <c r="B327" s="7"/>
      <c r="D327" s="9"/>
      <c r="E327" s="9"/>
      <c r="G327" s="14"/>
    </row>
    <row r="328" spans="2:7" ht="12.75">
      <c r="B328" s="1" t="s">
        <v>354</v>
      </c>
      <c r="C328" s="2"/>
      <c r="D328" s="3"/>
      <c r="E328" s="9"/>
      <c r="G328" s="14"/>
    </row>
    <row r="329" spans="2:7" ht="15">
      <c r="B329" s="10" t="s">
        <v>2</v>
      </c>
      <c r="C329" s="154" t="s">
        <v>3</v>
      </c>
      <c r="D329" s="154"/>
      <c r="E329" s="9"/>
      <c r="G329" s="14"/>
    </row>
    <row r="330" spans="2:7" ht="12.75">
      <c r="B330" s="3"/>
      <c r="C330" s="154" t="s">
        <v>4</v>
      </c>
      <c r="D330" s="154"/>
      <c r="G330" s="14"/>
    </row>
    <row r="331" spans="1:7" ht="12.75">
      <c r="A331" s="5" t="s">
        <v>41</v>
      </c>
      <c r="B331" s="16" t="s">
        <v>419</v>
      </c>
      <c r="C331" s="8" t="str">
        <f>'RUF WORK FOR ALL'!C369</f>
        <v>Dr</v>
      </c>
      <c r="D331" s="9">
        <f>'RUF WORK FOR ALL'!D369</f>
        <v>400000</v>
      </c>
      <c r="E331" s="14"/>
      <c r="F331" s="2"/>
      <c r="G331" s="14"/>
    </row>
    <row r="332" spans="1:7" ht="12.75">
      <c r="A332" s="5" t="s">
        <v>39</v>
      </c>
      <c r="B332" s="4" t="s">
        <v>355</v>
      </c>
      <c r="C332" s="8" t="str">
        <f>'RUF WORK FOR ALL'!C346</f>
        <v>Cr</v>
      </c>
      <c r="D332" s="9">
        <f>'RUF WORK FOR ALL'!D346</f>
        <v>368</v>
      </c>
      <c r="E332" s="9"/>
      <c r="F332" s="9"/>
      <c r="G332" s="14"/>
    </row>
    <row r="333" spans="1:7" ht="12.75">
      <c r="A333" s="5" t="s">
        <v>41</v>
      </c>
      <c r="B333" s="16" t="s">
        <v>420</v>
      </c>
      <c r="C333" s="8" t="str">
        <f>'RUF WORK FOR ALL'!C370</f>
        <v>Dr</v>
      </c>
      <c r="D333" s="9">
        <f>'RUF WORK FOR ALL'!D370</f>
        <v>42500</v>
      </c>
      <c r="E333" s="9"/>
      <c r="F333" s="9"/>
      <c r="G333" s="14"/>
    </row>
    <row r="334" spans="1:7" ht="12.75">
      <c r="A334" s="5" t="s">
        <v>77</v>
      </c>
      <c r="B334" s="4" t="s">
        <v>62</v>
      </c>
      <c r="C334" s="8" t="str">
        <f>'RUF WORK FOR ALL'!C330</f>
        <v>Dr</v>
      </c>
      <c r="D334" s="9">
        <f>'RUF WORK FOR ALL'!D330</f>
        <v>3000</v>
      </c>
      <c r="E334" s="9"/>
      <c r="F334" s="9"/>
      <c r="G334" s="14"/>
    </row>
    <row r="335" spans="1:7" ht="12.75">
      <c r="A335" s="5" t="s">
        <v>41</v>
      </c>
      <c r="B335" s="16" t="s">
        <v>421</v>
      </c>
      <c r="C335" s="8" t="str">
        <f>'RUF WORK FOR ALL'!C371</f>
        <v>Dr</v>
      </c>
      <c r="D335" s="9">
        <f>'RUF WORK FOR ALL'!D371</f>
        <v>658</v>
      </c>
      <c r="E335" s="9"/>
      <c r="F335" s="9"/>
      <c r="G335" s="14"/>
    </row>
    <row r="336" spans="1:7" ht="12.75">
      <c r="A336" s="5" t="s">
        <v>39</v>
      </c>
      <c r="B336" s="4" t="s">
        <v>356</v>
      </c>
      <c r="C336" s="8" t="str">
        <f>'RUF WORK FOR ALL'!C347</f>
        <v>Cr</v>
      </c>
      <c r="D336" s="9">
        <f>'RUF WORK FOR ALL'!D347</f>
        <v>30950</v>
      </c>
      <c r="E336" s="9"/>
      <c r="F336" s="9"/>
      <c r="G336" s="14"/>
    </row>
    <row r="337" spans="1:7" ht="12.75">
      <c r="A337" s="5" t="s">
        <v>77</v>
      </c>
      <c r="B337" s="4" t="s">
        <v>63</v>
      </c>
      <c r="C337" s="8" t="str">
        <f>'RUF WORK FOR ALL'!C331</f>
        <v>Dr</v>
      </c>
      <c r="D337" s="9">
        <f>'RUF WORK FOR ALL'!D331</f>
        <v>66206</v>
      </c>
      <c r="E337" s="9"/>
      <c r="F337" s="9"/>
      <c r="G337" s="14"/>
    </row>
    <row r="338" spans="1:7" ht="12.75">
      <c r="A338" s="5" t="s">
        <v>41</v>
      </c>
      <c r="B338" s="16" t="s">
        <v>422</v>
      </c>
      <c r="C338" s="8" t="str">
        <f>'RUF WORK FOR ALL'!C372</f>
        <v>Dr</v>
      </c>
      <c r="D338" s="9">
        <f>'RUF WORK FOR ALL'!D372</f>
        <v>192250</v>
      </c>
      <c r="E338" s="9"/>
      <c r="F338" s="9"/>
      <c r="G338" s="14"/>
    </row>
    <row r="339" spans="1:7" ht="12.75">
      <c r="A339" s="5" t="s">
        <v>36</v>
      </c>
      <c r="B339" s="16" t="s">
        <v>404</v>
      </c>
      <c r="C339" s="8" t="str">
        <f>'RUF WORK FOR ALL'!C365</f>
        <v>Dr</v>
      </c>
      <c r="D339" s="9">
        <f>'RUF WORK FOR ALL'!D365</f>
        <v>31000</v>
      </c>
      <c r="E339" s="9"/>
      <c r="F339" s="13"/>
      <c r="G339" s="14"/>
    </row>
    <row r="340" spans="1:7" ht="12.75">
      <c r="A340" s="5" t="s">
        <v>39</v>
      </c>
      <c r="B340" s="4" t="s">
        <v>364</v>
      </c>
      <c r="C340" s="8" t="str">
        <f>'RUF WORK FOR ALL'!C355</f>
        <v>Dr</v>
      </c>
      <c r="D340" s="9">
        <f>'RUF WORK FOR ALL'!D355</f>
        <v>37700</v>
      </c>
      <c r="E340" s="9"/>
      <c r="F340" s="18"/>
      <c r="G340" s="14"/>
    </row>
    <row r="341" spans="1:7" ht="12.75">
      <c r="A341" s="5" t="s">
        <v>39</v>
      </c>
      <c r="B341" s="4" t="s">
        <v>365</v>
      </c>
      <c r="C341" s="8" t="str">
        <f>'RUF WORK FOR ALL'!C356</f>
        <v>Dr</v>
      </c>
      <c r="D341" s="9">
        <f>'RUF WORK FOR ALL'!D356</f>
        <v>500</v>
      </c>
      <c r="E341" s="9"/>
      <c r="F341" s="13"/>
      <c r="G341" s="14"/>
    </row>
    <row r="342" spans="1:7" ht="12.75">
      <c r="A342" s="5" t="s">
        <v>41</v>
      </c>
      <c r="B342" s="16" t="s">
        <v>423</v>
      </c>
      <c r="C342" s="8" t="str">
        <f>'RUF WORK FOR ALL'!C373</f>
        <v>Dr</v>
      </c>
      <c r="D342" s="9">
        <f>'RUF WORK FOR ALL'!D373</f>
        <v>12655</v>
      </c>
      <c r="E342" s="9"/>
      <c r="F342" s="9"/>
      <c r="G342" s="14"/>
    </row>
    <row r="343" spans="1:7" ht="12.75">
      <c r="A343" s="5" t="s">
        <v>41</v>
      </c>
      <c r="B343" s="16" t="s">
        <v>424</v>
      </c>
      <c r="C343" s="8" t="str">
        <f>'RUF WORK FOR ALL'!C374</f>
        <v>Dr</v>
      </c>
      <c r="D343" s="9">
        <f>'RUF WORK FOR ALL'!D374</f>
        <v>100000</v>
      </c>
      <c r="E343" s="9"/>
      <c r="F343" s="9"/>
      <c r="G343" s="14"/>
    </row>
    <row r="344" spans="1:7" ht="12.75">
      <c r="A344" s="5" t="s">
        <v>77</v>
      </c>
      <c r="B344" s="4" t="s">
        <v>64</v>
      </c>
      <c r="C344" s="8" t="str">
        <f>'RUF WORK FOR ALL'!C332</f>
        <v>Dr</v>
      </c>
      <c r="D344" s="9">
        <f>'RUF WORK FOR ALL'!D332</f>
        <v>500</v>
      </c>
      <c r="E344" s="9"/>
      <c r="F344" s="9"/>
      <c r="G344" s="14"/>
    </row>
    <row r="345" spans="1:7" ht="12.75">
      <c r="A345" s="5" t="s">
        <v>41</v>
      </c>
      <c r="B345" s="4" t="s">
        <v>857</v>
      </c>
      <c r="C345" s="8" t="s">
        <v>40</v>
      </c>
      <c r="D345" s="9">
        <f>'RUF WORK FOR ALL'!D377</f>
        <v>1400</v>
      </c>
      <c r="E345" s="9"/>
      <c r="F345" s="9"/>
      <c r="G345" s="14"/>
    </row>
    <row r="346" spans="1:7" ht="12.75">
      <c r="A346" s="5" t="s">
        <v>41</v>
      </c>
      <c r="B346" s="16" t="s">
        <v>425</v>
      </c>
      <c r="C346" s="8" t="str">
        <f>'RUF WORK FOR ALL'!C375</f>
        <v>Dr</v>
      </c>
      <c r="D346" s="9">
        <f>'RUF WORK FOR ALL'!D375</f>
        <v>385</v>
      </c>
      <c r="E346" s="9"/>
      <c r="F346" s="9"/>
      <c r="G346" s="14"/>
    </row>
    <row r="347" spans="1:7" ht="12.75">
      <c r="A347" s="5" t="s">
        <v>39</v>
      </c>
      <c r="B347" s="4" t="s">
        <v>366</v>
      </c>
      <c r="C347" s="8" t="str">
        <f>'RUF WORK FOR ALL'!C357</f>
        <v>Dr</v>
      </c>
      <c r="D347" s="9">
        <f>'RUF WORK FOR ALL'!D357</f>
        <v>44000</v>
      </c>
      <c r="E347" s="9"/>
      <c r="F347" s="9"/>
      <c r="G347" s="14"/>
    </row>
    <row r="348" spans="1:7" ht="12.75">
      <c r="A348" s="5" t="s">
        <v>39</v>
      </c>
      <c r="B348" s="4" t="s">
        <v>367</v>
      </c>
      <c r="C348" s="8" t="str">
        <f>'RUF WORK FOR ALL'!C358</f>
        <v>Dr</v>
      </c>
      <c r="D348" s="9">
        <f>'RUF WORK FOR ALL'!D358</f>
        <v>6000</v>
      </c>
      <c r="E348" s="9"/>
      <c r="F348" s="9"/>
      <c r="G348" s="14"/>
    </row>
    <row r="349" spans="1:7" ht="12.75">
      <c r="A349" s="5" t="s">
        <v>77</v>
      </c>
      <c r="B349" s="4" t="s">
        <v>65</v>
      </c>
      <c r="C349" s="8" t="str">
        <f>'RUF WORK FOR ALL'!C333</f>
        <v>Cr</v>
      </c>
      <c r="D349" s="9">
        <f>'RUF WORK FOR ALL'!D333</f>
        <v>500</v>
      </c>
      <c r="E349" s="9"/>
      <c r="F349" s="9"/>
      <c r="G349" s="14"/>
    </row>
    <row r="350" spans="1:7" ht="12.75">
      <c r="A350" s="5" t="s">
        <v>41</v>
      </c>
      <c r="B350" s="16" t="s">
        <v>426</v>
      </c>
      <c r="C350" s="8" t="str">
        <f>'RUF WORK FOR ALL'!C376</f>
        <v>Dr</v>
      </c>
      <c r="D350" s="9">
        <f>'RUF WORK FOR ALL'!D376</f>
        <v>1500</v>
      </c>
      <c r="E350" s="9"/>
      <c r="F350" s="9"/>
      <c r="G350" s="14"/>
    </row>
    <row r="351" spans="1:7" ht="12.75">
      <c r="A351" s="5" t="s">
        <v>77</v>
      </c>
      <c r="B351" s="4" t="s">
        <v>66</v>
      </c>
      <c r="C351" s="8" t="str">
        <f>'RUF WORK FOR ALL'!C334</f>
        <v>Dr</v>
      </c>
      <c r="D351" s="9">
        <f>'RUF WORK FOR ALL'!D334</f>
        <v>1500</v>
      </c>
      <c r="E351" s="9"/>
      <c r="F351" s="9"/>
      <c r="G351" s="14"/>
    </row>
    <row r="352" spans="1:7" ht="12.75">
      <c r="A352" s="5" t="s">
        <v>77</v>
      </c>
      <c r="B352" s="4" t="s">
        <v>67</v>
      </c>
      <c r="C352" s="8" t="str">
        <f>'RUF WORK FOR ALL'!C335</f>
        <v>Dr</v>
      </c>
      <c r="D352" s="9">
        <f>'RUF WORK FOR ALL'!D335</f>
        <v>52000</v>
      </c>
      <c r="E352" s="9"/>
      <c r="F352" s="9"/>
      <c r="G352" s="14"/>
    </row>
    <row r="353" spans="1:7" ht="12.75">
      <c r="A353" s="5" t="s">
        <v>39</v>
      </c>
      <c r="B353" s="4" t="s">
        <v>368</v>
      </c>
      <c r="C353" s="8" t="str">
        <f>'RUF WORK FOR ALL'!C359</f>
        <v>Dr</v>
      </c>
      <c r="D353" s="9">
        <f>'RUF WORK FOR ALL'!D359</f>
        <v>133000</v>
      </c>
      <c r="E353" s="9"/>
      <c r="F353" s="9"/>
      <c r="G353" s="14"/>
    </row>
    <row r="354" spans="1:7" ht="12.75">
      <c r="A354" s="5" t="s">
        <v>39</v>
      </c>
      <c r="B354" s="4" t="s">
        <v>369</v>
      </c>
      <c r="C354" s="8" t="str">
        <f>'RUF WORK FOR ALL'!C360</f>
        <v>Dr</v>
      </c>
      <c r="D354" s="9">
        <f>'RUF WORK FOR ALL'!D360</f>
        <v>4942</v>
      </c>
      <c r="E354" s="9"/>
      <c r="F354" s="9"/>
      <c r="G354" s="14"/>
    </row>
    <row r="355" spans="1:7" ht="12.75">
      <c r="A355" s="5" t="s">
        <v>39</v>
      </c>
      <c r="B355" s="4" t="s">
        <v>357</v>
      </c>
      <c r="C355" s="8" t="str">
        <f>'RUF WORK FOR ALL'!C348</f>
        <v>Cr</v>
      </c>
      <c r="D355" s="9">
        <f>'RUF WORK FOR ALL'!D348</f>
        <v>7050</v>
      </c>
      <c r="E355" s="9"/>
      <c r="F355" s="9"/>
      <c r="G355" s="14"/>
    </row>
    <row r="356" spans="1:7" ht="12.75">
      <c r="A356" s="5" t="s">
        <v>39</v>
      </c>
      <c r="B356" s="4" t="s">
        <v>358</v>
      </c>
      <c r="C356" s="8" t="str">
        <f>'RUF WORK FOR ALL'!C349</f>
        <v>Cr</v>
      </c>
      <c r="D356" s="9">
        <f>'RUF WORK FOR ALL'!D349</f>
        <v>3814</v>
      </c>
      <c r="E356" s="9"/>
      <c r="F356" s="9"/>
      <c r="G356" s="14"/>
    </row>
    <row r="357" spans="1:7" ht="12.75">
      <c r="A357" s="11" t="s">
        <v>38</v>
      </c>
      <c r="B357" s="16" t="s">
        <v>98</v>
      </c>
      <c r="C357" s="8" t="str">
        <f>'RUF WORK FOR ALL'!C329</f>
        <v>Dr</v>
      </c>
      <c r="D357" s="9">
        <f>'RUF WORK FOR ALL'!D329</f>
        <v>1000</v>
      </c>
      <c r="E357" s="9"/>
      <c r="F357" s="9"/>
      <c r="G357" s="14"/>
    </row>
    <row r="358" spans="1:7" ht="12.75">
      <c r="A358" s="5" t="s">
        <v>41</v>
      </c>
      <c r="B358" s="16" t="s">
        <v>856</v>
      </c>
      <c r="C358" s="8" t="str">
        <f>'RUF WORK FOR ALL'!C378</f>
        <v>Dr</v>
      </c>
      <c r="D358" s="9">
        <f>'RUF WORK FOR ALL'!D378</f>
        <v>9000</v>
      </c>
      <c r="E358" s="9"/>
      <c r="F358" s="9"/>
      <c r="G358" s="14"/>
    </row>
    <row r="359" spans="1:7" ht="12.75">
      <c r="A359" s="5" t="s">
        <v>39</v>
      </c>
      <c r="B359" s="4" t="s">
        <v>370</v>
      </c>
      <c r="C359" s="8" t="str">
        <f>'RUF WORK FOR ALL'!C361</f>
        <v>Dr</v>
      </c>
      <c r="D359" s="9">
        <f>'RUF WORK FOR ALL'!D361</f>
        <v>412</v>
      </c>
      <c r="E359" s="18"/>
      <c r="F359" s="18"/>
      <c r="G359" s="14"/>
    </row>
    <row r="360" spans="1:7" ht="12.75">
      <c r="A360" s="5" t="s">
        <v>39</v>
      </c>
      <c r="B360" s="4" t="s">
        <v>371</v>
      </c>
      <c r="C360" s="8" t="str">
        <f>'RUF WORK FOR ALL'!C362</f>
        <v>Dr</v>
      </c>
      <c r="D360" s="9">
        <f>'RUF WORK FOR ALL'!D362</f>
        <v>243941</v>
      </c>
      <c r="E360" s="18"/>
      <c r="F360" s="13"/>
      <c r="G360" s="14"/>
    </row>
    <row r="361" spans="1:7" ht="12.75">
      <c r="A361" s="5" t="s">
        <v>39</v>
      </c>
      <c r="B361" s="4" t="s">
        <v>359</v>
      </c>
      <c r="C361" s="8" t="str">
        <f>'RUF WORK FOR ALL'!C350</f>
        <v>Cr</v>
      </c>
      <c r="D361" s="9">
        <f>'RUF WORK FOR ALL'!D350</f>
        <v>14230</v>
      </c>
      <c r="E361" s="18"/>
      <c r="F361" s="18"/>
      <c r="G361" s="14"/>
    </row>
    <row r="362" spans="1:7" ht="12.75">
      <c r="A362" s="5" t="s">
        <v>36</v>
      </c>
      <c r="B362" s="16" t="s">
        <v>405</v>
      </c>
      <c r="C362" s="8" t="str">
        <f>'RUF WORK FOR ALL'!C366</f>
        <v>Dr</v>
      </c>
      <c r="D362" s="9">
        <f>'RUF WORK FOR ALL'!D366</f>
        <v>1000</v>
      </c>
      <c r="E362" s="18"/>
      <c r="F362" s="18"/>
      <c r="G362" s="14"/>
    </row>
    <row r="363" spans="1:7" ht="12.75">
      <c r="A363" s="5" t="s">
        <v>39</v>
      </c>
      <c r="B363" s="4" t="s">
        <v>360</v>
      </c>
      <c r="C363" s="8" t="str">
        <f>'RUF WORK FOR ALL'!C351</f>
        <v>Cr</v>
      </c>
      <c r="D363" s="9">
        <f>'RUF WORK FOR ALL'!D351</f>
        <v>6915</v>
      </c>
      <c r="E363" s="18"/>
      <c r="F363" s="18"/>
      <c r="G363" s="14"/>
    </row>
    <row r="364" spans="1:7" ht="12.75">
      <c r="A364" s="5" t="s">
        <v>39</v>
      </c>
      <c r="B364" s="4" t="s">
        <v>361</v>
      </c>
      <c r="C364" s="8" t="str">
        <f>'RUF WORK FOR ALL'!C352</f>
        <v>Cr</v>
      </c>
      <c r="D364" s="9">
        <f>'RUF WORK FOR ALL'!D352</f>
        <v>4810</v>
      </c>
      <c r="E364" s="18"/>
      <c r="F364" s="13"/>
      <c r="G364" s="14"/>
    </row>
    <row r="365" spans="1:7" ht="12.75">
      <c r="A365" s="5" t="s">
        <v>39</v>
      </c>
      <c r="B365" s="4" t="s">
        <v>363</v>
      </c>
      <c r="C365" s="8" t="str">
        <f>'RUF WORK FOR ALL'!C354</f>
        <v>Cr</v>
      </c>
      <c r="D365" s="9">
        <f>'RUF WORK FOR ALL'!D354</f>
        <v>30950</v>
      </c>
      <c r="E365" s="18"/>
      <c r="F365" s="18"/>
      <c r="G365" s="14"/>
    </row>
    <row r="366" spans="1:7" ht="12.75">
      <c r="A366" s="5" t="s">
        <v>39</v>
      </c>
      <c r="B366" s="4" t="s">
        <v>362</v>
      </c>
      <c r="C366" s="8" t="str">
        <f>'RUF WORK FOR ALL'!C353</f>
        <v>Cr</v>
      </c>
      <c r="D366" s="9">
        <f>'RUF WORK FOR ALL'!D353</f>
        <v>3575</v>
      </c>
      <c r="E366" s="18"/>
      <c r="F366" s="18"/>
      <c r="G366" s="14"/>
    </row>
    <row r="367" spans="1:7" ht="12.75">
      <c r="A367" s="5" t="s">
        <v>275</v>
      </c>
      <c r="B367" s="4" t="s">
        <v>858</v>
      </c>
      <c r="C367" s="8" t="s">
        <v>40</v>
      </c>
      <c r="D367" s="9">
        <f>'RUF WORK FOR ALL'!D338</f>
        <v>3000</v>
      </c>
      <c r="E367" s="18"/>
      <c r="F367" s="18"/>
      <c r="G367" s="14"/>
    </row>
    <row r="368" spans="1:7" ht="12.75">
      <c r="A368" s="5" t="s">
        <v>275</v>
      </c>
      <c r="B368" s="4" t="s">
        <v>859</v>
      </c>
      <c r="C368" s="8" t="s">
        <v>40</v>
      </c>
      <c r="D368" s="9">
        <f>'RUF WORK FOR ALL'!D339</f>
        <v>2500</v>
      </c>
      <c r="E368" s="18"/>
      <c r="F368" s="18"/>
      <c r="G368" s="14"/>
    </row>
    <row r="369" spans="1:7" ht="12.75">
      <c r="A369" s="5" t="s">
        <v>275</v>
      </c>
      <c r="B369" s="4" t="s">
        <v>784</v>
      </c>
      <c r="C369" s="8" t="s">
        <v>40</v>
      </c>
      <c r="D369" s="9">
        <f>'RUF WORK FOR ALL'!D340</f>
        <v>106000</v>
      </c>
      <c r="E369" s="18"/>
      <c r="F369" s="18"/>
      <c r="G369" s="14"/>
    </row>
    <row r="370" spans="1:7" ht="12.75">
      <c r="A370" s="5" t="s">
        <v>275</v>
      </c>
      <c r="B370" s="4" t="s">
        <v>860</v>
      </c>
      <c r="C370" s="8" t="s">
        <v>40</v>
      </c>
      <c r="D370" s="9">
        <f>'RUF WORK FOR ALL'!D341</f>
        <v>3000</v>
      </c>
      <c r="E370" s="18"/>
      <c r="F370" s="18"/>
      <c r="G370" s="14"/>
    </row>
    <row r="371" spans="1:7" ht="12.75">
      <c r="A371" s="5" t="s">
        <v>275</v>
      </c>
      <c r="B371" s="4" t="s">
        <v>785</v>
      </c>
      <c r="C371" s="8" t="s">
        <v>40</v>
      </c>
      <c r="D371" s="9">
        <f>'RUF WORK FOR ALL'!D342</f>
        <v>13000</v>
      </c>
      <c r="E371" s="18"/>
      <c r="F371" s="18"/>
      <c r="G371" s="14"/>
    </row>
    <row r="372" spans="1:7" ht="12.75">
      <c r="A372" s="5" t="s">
        <v>275</v>
      </c>
      <c r="B372" s="4" t="s">
        <v>861</v>
      </c>
      <c r="C372" s="8" t="s">
        <v>40</v>
      </c>
      <c r="D372" s="9">
        <f>'RUF WORK FOR ALL'!D343</f>
        <v>40000</v>
      </c>
      <c r="E372" s="18"/>
      <c r="F372" s="18"/>
      <c r="G372" s="14"/>
    </row>
    <row r="373" spans="1:7" ht="12.75">
      <c r="A373" s="5" t="s">
        <v>275</v>
      </c>
      <c r="B373" s="4" t="s">
        <v>862</v>
      </c>
      <c r="C373" s="8" t="s">
        <v>40</v>
      </c>
      <c r="D373" s="9">
        <f>'RUF WORK FOR ALL'!D344</f>
        <v>1500</v>
      </c>
      <c r="E373" s="18"/>
      <c r="F373" s="18"/>
      <c r="G373" s="14"/>
    </row>
    <row r="374" spans="1:7" ht="12.75">
      <c r="A374" s="5" t="s">
        <v>77</v>
      </c>
      <c r="B374" s="4" t="s">
        <v>68</v>
      </c>
      <c r="C374" s="8" t="str">
        <f>'RUF WORK FOR ALL'!C336</f>
        <v>Dr</v>
      </c>
      <c r="D374" s="9">
        <f>'RUF WORK FOR ALL'!D336</f>
        <v>1024</v>
      </c>
      <c r="E374" s="18"/>
      <c r="F374" s="18"/>
      <c r="G374" s="14"/>
    </row>
    <row r="375" spans="1:7" ht="12.75">
      <c r="A375" s="5" t="s">
        <v>275</v>
      </c>
      <c r="B375" s="4" t="s">
        <v>68</v>
      </c>
      <c r="C375" s="8" t="str">
        <f>'RUF WORK FOR ALL'!C345</f>
        <v>Dr</v>
      </c>
      <c r="D375" s="9">
        <f>'RUF WORK FOR ALL'!D345</f>
        <v>166</v>
      </c>
      <c r="E375" s="18"/>
      <c r="F375" s="18"/>
      <c r="G375" s="14"/>
    </row>
    <row r="376" spans="1:7" ht="12.75">
      <c r="A376" s="5" t="s">
        <v>39</v>
      </c>
      <c r="B376" s="16" t="s">
        <v>68</v>
      </c>
      <c r="C376" s="8" t="str">
        <f>'RUF WORK FOR ALL'!C363</f>
        <v>Dr</v>
      </c>
      <c r="D376" s="9">
        <f>'RUF WORK FOR ALL'!D363</f>
        <v>650</v>
      </c>
      <c r="E376" s="18"/>
      <c r="F376" s="18"/>
      <c r="G376" s="14"/>
    </row>
    <row r="377" spans="1:7" ht="12.75">
      <c r="A377" s="5" t="s">
        <v>36</v>
      </c>
      <c r="B377" s="16" t="s">
        <v>68</v>
      </c>
      <c r="C377" s="8" t="str">
        <f>'RUF WORK FOR ALL'!C368</f>
        <v>Dr</v>
      </c>
      <c r="D377" s="9">
        <f>'RUF WORK FOR ALL'!D368</f>
        <v>94</v>
      </c>
      <c r="E377" s="18"/>
      <c r="F377" s="18"/>
      <c r="G377" s="14"/>
    </row>
    <row r="378" spans="1:7" ht="12.75">
      <c r="A378" s="5" t="s">
        <v>41</v>
      </c>
      <c r="B378" s="16" t="s">
        <v>68</v>
      </c>
      <c r="C378" s="8" t="str">
        <f>'RUF WORK FOR ALL'!C379</f>
        <v>Dr</v>
      </c>
      <c r="D378" s="9">
        <f>'RUF WORK FOR ALL'!D379</f>
        <v>735</v>
      </c>
      <c r="E378" s="18"/>
      <c r="F378" s="18"/>
      <c r="G378" s="14"/>
    </row>
    <row r="379" spans="1:7" ht="12.75">
      <c r="A379" s="5" t="s">
        <v>77</v>
      </c>
      <c r="B379" s="4" t="s">
        <v>69</v>
      </c>
      <c r="C379" s="8" t="str">
        <f>'RUF WORK FOR ALL'!C337</f>
        <v>Dr</v>
      </c>
      <c r="D379" s="9">
        <f>'RUF WORK FOR ALL'!D337</f>
        <v>10000</v>
      </c>
      <c r="E379" s="18"/>
      <c r="F379" s="18"/>
      <c r="G379" s="14"/>
    </row>
    <row r="380" spans="1:7" ht="12.75">
      <c r="A380" s="5" t="s">
        <v>39</v>
      </c>
      <c r="B380" s="16" t="s">
        <v>372</v>
      </c>
      <c r="C380" s="8" t="str">
        <f>'RUF WORK FOR ALL'!C364</f>
        <v>Dr</v>
      </c>
      <c r="D380" s="9">
        <f>'RUF WORK FOR ALL'!D364</f>
        <v>50000</v>
      </c>
      <c r="E380" s="18"/>
      <c r="F380" s="18"/>
      <c r="G380" s="14"/>
    </row>
    <row r="381" spans="1:8" ht="12.75">
      <c r="A381" s="5" t="s">
        <v>36</v>
      </c>
      <c r="B381" s="16" t="s">
        <v>406</v>
      </c>
      <c r="C381" s="8" t="str">
        <f>'RUF WORK FOR ALL'!C367</f>
        <v>Dr</v>
      </c>
      <c r="D381" s="9">
        <f>'RUF WORK FOR ALL'!D367</f>
        <v>748</v>
      </c>
      <c r="E381" s="18">
        <f>SUM(D341:D381)-SUM(D331:D340)</f>
        <v>113364</v>
      </c>
      <c r="F381" s="13" t="s">
        <v>40</v>
      </c>
      <c r="G381" s="14">
        <f>E381</f>
        <v>113364</v>
      </c>
      <c r="H381" s="2" t="s">
        <v>40</v>
      </c>
    </row>
    <row r="382" spans="2:7" ht="12.75">
      <c r="B382" s="16"/>
      <c r="C382" s="17"/>
      <c r="D382" s="16"/>
      <c r="E382" s="16"/>
      <c r="F382" s="16"/>
      <c r="G382" s="14"/>
    </row>
    <row r="383" spans="2:7" ht="12.75">
      <c r="B383" s="1" t="s">
        <v>333</v>
      </c>
      <c r="C383" s="2"/>
      <c r="D383" s="3"/>
      <c r="G383" s="14"/>
    </row>
    <row r="384" spans="2:7" ht="15">
      <c r="B384" s="10" t="s">
        <v>2</v>
      </c>
      <c r="C384" s="11"/>
      <c r="D384" s="3" t="s">
        <v>3</v>
      </c>
      <c r="G384" s="14"/>
    </row>
    <row r="385" spans="2:7" ht="12.75">
      <c r="B385" s="11"/>
      <c r="C385" s="13"/>
      <c r="D385" s="12" t="s">
        <v>4</v>
      </c>
      <c r="G385" s="14"/>
    </row>
    <row r="386" spans="1:7" ht="12.75">
      <c r="A386" s="5" t="s">
        <v>77</v>
      </c>
      <c r="B386" s="4" t="s">
        <v>230</v>
      </c>
      <c r="D386" s="9">
        <f>'RUF WORK FOR ALL'!D395</f>
        <v>95217</v>
      </c>
      <c r="G386" s="14"/>
    </row>
    <row r="387" spans="1:7" ht="12.75">
      <c r="A387" s="5" t="s">
        <v>39</v>
      </c>
      <c r="B387" s="4" t="s">
        <v>230</v>
      </c>
      <c r="D387" s="9">
        <f>'RUF WORK FOR ALL'!D435</f>
        <v>321391</v>
      </c>
      <c r="G387" s="14"/>
    </row>
    <row r="388" spans="1:7" ht="12.75">
      <c r="A388" s="5" t="s">
        <v>41</v>
      </c>
      <c r="B388" s="4" t="s">
        <v>230</v>
      </c>
      <c r="D388" s="9">
        <f>'RUF WORK FOR ALL'!D467</f>
        <v>265113</v>
      </c>
      <c r="G388" s="14"/>
    </row>
    <row r="389" spans="1:7" ht="12.75">
      <c r="A389" s="5" t="s">
        <v>38</v>
      </c>
      <c r="B389" s="11" t="s">
        <v>99</v>
      </c>
      <c r="C389" s="13"/>
      <c r="D389" s="9">
        <f>'RUF WORK FOR ALL'!D384</f>
        <v>18800</v>
      </c>
      <c r="G389" s="14"/>
    </row>
    <row r="390" spans="1:7" ht="12.75">
      <c r="A390" s="5" t="s">
        <v>275</v>
      </c>
      <c r="B390" s="4" t="s">
        <v>99</v>
      </c>
      <c r="D390" s="46">
        <f>'RUF WORK FOR ALL'!D425</f>
        <v>7137</v>
      </c>
      <c r="E390" s="14">
        <f>SUM(D386:D390)</f>
        <v>707658</v>
      </c>
      <c r="G390" s="14"/>
    </row>
    <row r="391" spans="1:7" ht="12.75">
      <c r="A391" s="5" t="s">
        <v>39</v>
      </c>
      <c r="B391" s="4" t="s">
        <v>376</v>
      </c>
      <c r="D391" s="46">
        <f>'RUF WORK FOR ALL'!D436</f>
        <v>39187</v>
      </c>
      <c r="E391" s="14">
        <f>D391</f>
        <v>39187</v>
      </c>
      <c r="G391" s="14"/>
    </row>
    <row r="392" spans="1:7" ht="12.75">
      <c r="A392" s="5" t="s">
        <v>38</v>
      </c>
      <c r="B392" s="11" t="s">
        <v>161</v>
      </c>
      <c r="C392" s="13"/>
      <c r="D392" s="9">
        <f>'RUF WORK FOR ALL'!D385</f>
        <v>8265</v>
      </c>
      <c r="G392" s="14"/>
    </row>
    <row r="393" spans="1:7" ht="12.75">
      <c r="A393" s="5" t="s">
        <v>77</v>
      </c>
      <c r="B393" s="4" t="s">
        <v>161</v>
      </c>
      <c r="D393" s="9">
        <f>'RUF WORK FOR ALL'!D396</f>
        <v>5510</v>
      </c>
      <c r="G393" s="14"/>
    </row>
    <row r="394" spans="1:7" ht="12.75">
      <c r="A394" s="5" t="s">
        <v>217</v>
      </c>
      <c r="B394" s="4" t="s">
        <v>161</v>
      </c>
      <c r="D394" s="9">
        <f>'RUF WORK FOR ALL'!D416</f>
        <v>2755</v>
      </c>
      <c r="G394" s="14"/>
    </row>
    <row r="395" spans="1:7" ht="12.75">
      <c r="A395" s="5" t="s">
        <v>248</v>
      </c>
      <c r="B395" s="4" t="s">
        <v>161</v>
      </c>
      <c r="D395" s="9">
        <f>'RUF WORK FOR ALL'!D420</f>
        <v>2755</v>
      </c>
      <c r="G395" s="14"/>
    </row>
    <row r="396" spans="1:7" ht="12.75">
      <c r="A396" s="5" t="s">
        <v>275</v>
      </c>
      <c r="B396" s="4" t="s">
        <v>161</v>
      </c>
      <c r="D396" s="9">
        <f>'RUF WORK FOR ALL'!D426</f>
        <v>2755</v>
      </c>
      <c r="G396" s="14"/>
    </row>
    <row r="397" spans="1:7" ht="12.75">
      <c r="A397" s="5" t="s">
        <v>39</v>
      </c>
      <c r="B397" s="4" t="s">
        <v>161</v>
      </c>
      <c r="D397" s="9">
        <f>'RUF WORK FOR ALL'!D437</f>
        <v>5510</v>
      </c>
      <c r="E397" s="14"/>
      <c r="G397" s="14"/>
    </row>
    <row r="398" spans="1:7" ht="12.75">
      <c r="A398" s="5" t="s">
        <v>36</v>
      </c>
      <c r="B398" s="4" t="s">
        <v>161</v>
      </c>
      <c r="D398" s="9">
        <f>'RUF WORK FOR ALL'!D458</f>
        <v>2755</v>
      </c>
      <c r="G398" s="14"/>
    </row>
    <row r="399" spans="1:7" ht="12.75">
      <c r="A399" s="5" t="s">
        <v>41</v>
      </c>
      <c r="B399" s="4" t="s">
        <v>161</v>
      </c>
      <c r="D399" s="46">
        <f>'RUF WORK FOR ALL'!D468</f>
        <v>5510</v>
      </c>
      <c r="E399" s="14">
        <f>SUM(D392:D399)</f>
        <v>35815</v>
      </c>
      <c r="G399" s="14"/>
    </row>
    <row r="400" spans="1:7" ht="12.75">
      <c r="A400" s="5" t="s">
        <v>38</v>
      </c>
      <c r="B400" s="11" t="s">
        <v>100</v>
      </c>
      <c r="C400" s="13"/>
      <c r="D400" s="46">
        <f>'RUF WORK FOR ALL'!D386</f>
        <v>1050</v>
      </c>
      <c r="E400" s="14">
        <f>D400</f>
        <v>1050</v>
      </c>
      <c r="G400" s="14"/>
    </row>
    <row r="401" spans="1:7" ht="12.75">
      <c r="A401" s="5" t="s">
        <v>77</v>
      </c>
      <c r="B401" s="4" t="s">
        <v>231</v>
      </c>
      <c r="D401" s="9">
        <f>'RUF WORK FOR ALL'!D397</f>
        <v>6161</v>
      </c>
      <c r="G401" s="14"/>
    </row>
    <row r="402" spans="1:7" ht="12.75">
      <c r="A402" s="5" t="s">
        <v>38</v>
      </c>
      <c r="B402" s="11" t="s">
        <v>210</v>
      </c>
      <c r="C402" s="13"/>
      <c r="D402" s="46">
        <f>'RUF WORK FOR ALL'!D387</f>
        <v>20279</v>
      </c>
      <c r="E402" s="14">
        <f>SUM(D401:D402)</f>
        <v>26440</v>
      </c>
      <c r="G402" s="14"/>
    </row>
    <row r="403" spans="1:7" ht="12.75">
      <c r="A403" s="5" t="s">
        <v>77</v>
      </c>
      <c r="B403" s="4" t="s">
        <v>70</v>
      </c>
      <c r="D403" s="9">
        <f>'RUF WORK FOR ALL'!D398</f>
        <v>168707</v>
      </c>
      <c r="G403" s="14"/>
    </row>
    <row r="404" spans="1:7" ht="12.75">
      <c r="A404" s="5" t="s">
        <v>41</v>
      </c>
      <c r="B404" s="4" t="s">
        <v>70</v>
      </c>
      <c r="D404" s="46">
        <f>'RUF WORK FOR ALL'!D469</f>
        <v>7780</v>
      </c>
      <c r="E404" s="14">
        <f>SUM(D403:D404)</f>
        <v>176487</v>
      </c>
      <c r="G404" s="14"/>
    </row>
    <row r="405" spans="1:7" ht="12.75">
      <c r="A405" s="5" t="s">
        <v>77</v>
      </c>
      <c r="B405" s="4" t="s">
        <v>232</v>
      </c>
      <c r="D405" s="9">
        <f>'RUF WORK FOR ALL'!D399</f>
        <v>628804</v>
      </c>
      <c r="G405" s="14"/>
    </row>
    <row r="406" spans="1:7" ht="12.75">
      <c r="A406" s="5" t="s">
        <v>39</v>
      </c>
      <c r="B406" s="4" t="s">
        <v>232</v>
      </c>
      <c r="D406" s="9">
        <f>'RUF WORK FOR ALL'!D439</f>
        <v>365526</v>
      </c>
      <c r="G406" s="14"/>
    </row>
    <row r="407" spans="1:7" ht="12.75">
      <c r="A407" s="5" t="s">
        <v>36</v>
      </c>
      <c r="B407" s="4" t="s">
        <v>232</v>
      </c>
      <c r="D407" s="9">
        <f>'RUF WORK FOR ALL'!D459</f>
        <v>477381</v>
      </c>
      <c r="G407" s="14"/>
    </row>
    <row r="408" spans="1:7" ht="12.75">
      <c r="A408" s="5" t="s">
        <v>41</v>
      </c>
      <c r="B408" s="4" t="s">
        <v>232</v>
      </c>
      <c r="D408" s="46">
        <f>'RUF WORK FOR ALL'!D470</f>
        <v>560421</v>
      </c>
      <c r="E408" s="14">
        <f>SUM(D405:D408)</f>
        <v>2032132</v>
      </c>
      <c r="G408" s="14"/>
    </row>
    <row r="409" spans="1:7" ht="12.75">
      <c r="A409" s="5" t="s">
        <v>39</v>
      </c>
      <c r="B409" s="4" t="s">
        <v>378</v>
      </c>
      <c r="D409" s="46">
        <f>'RUF WORK FOR ALL'!D440</f>
        <v>62421</v>
      </c>
      <c r="E409" s="14">
        <f>D409</f>
        <v>62421</v>
      </c>
      <c r="G409" s="14"/>
    </row>
    <row r="410" spans="1:7" ht="12.75">
      <c r="A410" s="5" t="s">
        <v>77</v>
      </c>
      <c r="B410" s="4" t="s">
        <v>229</v>
      </c>
      <c r="D410" s="9">
        <f>'RUF WORK FOR ALL'!D400</f>
        <v>1005</v>
      </c>
      <c r="G410" s="14"/>
    </row>
    <row r="411" spans="1:7" ht="12.75">
      <c r="A411" s="5" t="s">
        <v>217</v>
      </c>
      <c r="B411" s="4" t="s">
        <v>229</v>
      </c>
      <c r="D411" s="9">
        <f>'RUF WORK FOR ALL'!D418</f>
        <v>5125</v>
      </c>
      <c r="G411" s="14"/>
    </row>
    <row r="412" spans="1:7" ht="12.75">
      <c r="A412" s="5" t="s">
        <v>248</v>
      </c>
      <c r="B412" s="4" t="s">
        <v>229</v>
      </c>
      <c r="D412" s="9">
        <f>'RUF WORK FOR ALL'!D421</f>
        <v>130</v>
      </c>
      <c r="G412" s="14"/>
    </row>
    <row r="413" spans="1:7" ht="12.75">
      <c r="A413" s="5" t="s">
        <v>39</v>
      </c>
      <c r="B413" s="4" t="s">
        <v>229</v>
      </c>
      <c r="D413" s="9">
        <f>'RUF WORK FOR ALL'!D441</f>
        <v>2263</v>
      </c>
      <c r="G413" s="14"/>
    </row>
    <row r="414" spans="1:7" ht="12.75">
      <c r="A414" s="5" t="s">
        <v>41</v>
      </c>
      <c r="B414" s="4" t="s">
        <v>229</v>
      </c>
      <c r="D414" s="46">
        <f>'RUF WORK FOR ALL'!D472</f>
        <v>1101</v>
      </c>
      <c r="E414" s="14">
        <f>SUM(D410:D414)</f>
        <v>9624</v>
      </c>
      <c r="G414" s="14"/>
    </row>
    <row r="415" spans="1:7" ht="12.75">
      <c r="A415" s="5" t="s">
        <v>77</v>
      </c>
      <c r="B415" s="4" t="s">
        <v>233</v>
      </c>
      <c r="D415" s="9">
        <f>'RUF WORK FOR ALL'!D401</f>
        <v>339680</v>
      </c>
      <c r="G415" s="14"/>
    </row>
    <row r="416" spans="1:7" ht="12.75">
      <c r="A416" s="5" t="s">
        <v>39</v>
      </c>
      <c r="B416" s="4" t="s">
        <v>233</v>
      </c>
      <c r="D416" s="9">
        <f>'RUF WORK FOR ALL'!D442</f>
        <v>616258</v>
      </c>
      <c r="G416" s="14"/>
    </row>
    <row r="417" spans="1:7" ht="12.75">
      <c r="A417" s="5" t="s">
        <v>41</v>
      </c>
      <c r="B417" s="4" t="s">
        <v>233</v>
      </c>
      <c r="D417" s="46">
        <f>'RUF WORK FOR ALL'!D473</f>
        <v>131416</v>
      </c>
      <c r="E417" s="14">
        <f>SUM(D415:D417)</f>
        <v>1087354</v>
      </c>
      <c r="G417" s="14"/>
    </row>
    <row r="418" spans="1:7" ht="12.75">
      <c r="A418" s="5" t="s">
        <v>248</v>
      </c>
      <c r="B418" s="4" t="s">
        <v>172</v>
      </c>
      <c r="D418" s="9">
        <f>'RUF WORK FOR ALL'!D422</f>
        <v>160943</v>
      </c>
      <c r="G418" s="14"/>
    </row>
    <row r="419" spans="1:7" ht="12.75">
      <c r="A419" s="5" t="s">
        <v>41</v>
      </c>
      <c r="B419" s="4" t="s">
        <v>172</v>
      </c>
      <c r="D419" s="46">
        <f>'RUF WORK FOR ALL'!D474</f>
        <v>22678</v>
      </c>
      <c r="E419" s="14">
        <f>SUM(D418:D419)</f>
        <v>183621</v>
      </c>
      <c r="G419" s="14"/>
    </row>
    <row r="420" spans="1:7" ht="12.75">
      <c r="A420" s="5" t="s">
        <v>275</v>
      </c>
      <c r="B420" s="4" t="s">
        <v>183</v>
      </c>
      <c r="D420" s="46">
        <f>'RUF WORK FOR ALL'!D432</f>
        <v>1002</v>
      </c>
      <c r="E420" s="14">
        <f>D420</f>
        <v>1002</v>
      </c>
      <c r="G420" s="14"/>
    </row>
    <row r="421" spans="1:7" ht="12.75">
      <c r="A421" s="5" t="s">
        <v>36</v>
      </c>
      <c r="B421" s="4" t="s">
        <v>410</v>
      </c>
      <c r="D421" s="46">
        <f>'RUF WORK FOR ALL'!D460</f>
        <v>2639517</v>
      </c>
      <c r="E421" s="14">
        <f>D421</f>
        <v>2639517</v>
      </c>
      <c r="G421" s="14"/>
    </row>
    <row r="422" spans="1:7" ht="12.75">
      <c r="A422" s="5" t="s">
        <v>39</v>
      </c>
      <c r="B422" s="4" t="s">
        <v>379</v>
      </c>
      <c r="D422" s="46">
        <f>'RUF WORK FOR ALL'!D443</f>
        <v>1819</v>
      </c>
      <c r="E422" s="14">
        <f>D422</f>
        <v>1819</v>
      </c>
      <c r="G422" s="14"/>
    </row>
    <row r="423" spans="1:7" ht="12.75">
      <c r="A423" s="5" t="s">
        <v>77</v>
      </c>
      <c r="B423" s="4" t="s">
        <v>234</v>
      </c>
      <c r="D423" s="9">
        <f>'RUF WORK FOR ALL'!D402</f>
        <v>72677</v>
      </c>
      <c r="E423" s="14"/>
      <c r="G423" s="14"/>
    </row>
    <row r="424" spans="1:7" ht="12.75">
      <c r="A424" s="5" t="s">
        <v>275</v>
      </c>
      <c r="B424" s="4" t="s">
        <v>234</v>
      </c>
      <c r="D424" s="9">
        <f>'RUF WORK FOR ALL'!D427</f>
        <v>245628</v>
      </c>
      <c r="E424" s="14"/>
      <c r="G424" s="14"/>
    </row>
    <row r="425" spans="1:7" ht="12.75">
      <c r="A425" s="5" t="s">
        <v>39</v>
      </c>
      <c r="B425" s="4" t="s">
        <v>234</v>
      </c>
      <c r="D425" s="9">
        <f>'RUF WORK FOR ALL'!D444</f>
        <v>123382</v>
      </c>
      <c r="E425" s="14"/>
      <c r="G425" s="14"/>
    </row>
    <row r="426" spans="1:7" ht="12.75">
      <c r="A426" s="5" t="s">
        <v>36</v>
      </c>
      <c r="B426" s="4" t="s">
        <v>234</v>
      </c>
      <c r="D426" s="9">
        <f>'RUF WORK FOR ALL'!D462</f>
        <v>8256</v>
      </c>
      <c r="E426" s="14"/>
      <c r="G426" s="14"/>
    </row>
    <row r="427" spans="1:7" ht="12.75">
      <c r="A427" s="5" t="s">
        <v>41</v>
      </c>
      <c r="B427" s="4" t="s">
        <v>234</v>
      </c>
      <c r="D427" s="46">
        <f>'RUF WORK FOR ALL'!D475</f>
        <v>47475</v>
      </c>
      <c r="E427" s="14">
        <f>SUM(D423:D427)</f>
        <v>497418</v>
      </c>
      <c r="G427" s="14"/>
    </row>
    <row r="428" spans="1:7" ht="12.75">
      <c r="A428" s="5" t="s">
        <v>77</v>
      </c>
      <c r="B428" s="4" t="s">
        <v>71</v>
      </c>
      <c r="D428" s="46">
        <f>'RUF WORK FOR ALL'!D403</f>
        <v>172440</v>
      </c>
      <c r="E428" s="14">
        <f>D428</f>
        <v>172440</v>
      </c>
      <c r="G428" s="14"/>
    </row>
    <row r="429" spans="1:7" ht="12.75">
      <c r="A429" s="5" t="s">
        <v>77</v>
      </c>
      <c r="B429" s="4" t="s">
        <v>72</v>
      </c>
      <c r="D429" s="46">
        <f>'RUF WORK FOR ALL'!D404</f>
        <v>198563</v>
      </c>
      <c r="E429" s="14">
        <f>D429</f>
        <v>198563</v>
      </c>
      <c r="G429" s="14"/>
    </row>
    <row r="430" spans="1:7" ht="12.75">
      <c r="A430" s="5" t="s">
        <v>41</v>
      </c>
      <c r="B430" s="4" t="s">
        <v>433</v>
      </c>
      <c r="D430" s="46">
        <f>'RUF WORK FOR ALL'!D476</f>
        <v>1155008</v>
      </c>
      <c r="E430" s="14">
        <f>D430</f>
        <v>1155008</v>
      </c>
      <c r="G430" s="14"/>
    </row>
    <row r="431" spans="1:7" ht="12.75">
      <c r="A431" s="5" t="s">
        <v>41</v>
      </c>
      <c r="B431" s="4" t="s">
        <v>434</v>
      </c>
      <c r="D431" s="9">
        <f>'RUF WORK FOR ALL'!D477</f>
        <v>85623</v>
      </c>
      <c r="E431" s="14"/>
      <c r="G431" s="14"/>
    </row>
    <row r="432" spans="1:7" ht="12.75">
      <c r="A432" s="5" t="s">
        <v>39</v>
      </c>
      <c r="B432" s="4" t="s">
        <v>101</v>
      </c>
      <c r="D432" s="9">
        <f>'RUF WORK FOR ALL'!D445</f>
        <v>235000</v>
      </c>
      <c r="E432" s="14"/>
      <c r="G432" s="14"/>
    </row>
    <row r="433" spans="1:7" ht="12.75">
      <c r="A433" s="5" t="s">
        <v>77</v>
      </c>
      <c r="B433" s="4" t="s">
        <v>235</v>
      </c>
      <c r="D433" s="46">
        <f>'RUF WORK FOR ALL'!D405</f>
        <v>10000</v>
      </c>
      <c r="E433" s="14">
        <f>SUM(D431:D433)</f>
        <v>330623</v>
      </c>
      <c r="G433" s="14"/>
    </row>
    <row r="434" spans="1:7" ht="12.75">
      <c r="A434" s="5" t="s">
        <v>38</v>
      </c>
      <c r="B434" s="11" t="s">
        <v>211</v>
      </c>
      <c r="C434" s="13"/>
      <c r="D434" s="46">
        <f>'RUF WORK FOR ALL'!D388</f>
        <v>13821</v>
      </c>
      <c r="E434" s="14">
        <f>D434</f>
        <v>13821</v>
      </c>
      <c r="G434" s="14"/>
    </row>
    <row r="435" spans="1:7" ht="12.75">
      <c r="A435" s="5" t="s">
        <v>77</v>
      </c>
      <c r="B435" s="4" t="s">
        <v>236</v>
      </c>
      <c r="D435" s="46">
        <f>'RUF WORK FOR ALL'!D406</f>
        <v>4272</v>
      </c>
      <c r="E435" s="14">
        <f>D435</f>
        <v>4272</v>
      </c>
      <c r="G435" s="14"/>
    </row>
    <row r="436" spans="1:7" ht="12.75">
      <c r="A436" s="5" t="s">
        <v>77</v>
      </c>
      <c r="B436" s="4" t="s">
        <v>237</v>
      </c>
      <c r="D436" s="9">
        <f>'RUF WORK FOR ALL'!D407</f>
        <v>126225</v>
      </c>
      <c r="E436" s="14"/>
      <c r="G436" s="14"/>
    </row>
    <row r="437" spans="1:7" ht="12.75">
      <c r="A437" s="5" t="s">
        <v>41</v>
      </c>
      <c r="B437" s="4" t="s">
        <v>237</v>
      </c>
      <c r="D437" s="46">
        <f>'RUF WORK FOR ALL'!D478</f>
        <v>9694</v>
      </c>
      <c r="E437" s="14">
        <f>SUM(D436:D437)</f>
        <v>135919</v>
      </c>
      <c r="G437" s="14"/>
    </row>
    <row r="438" spans="1:7" ht="12.75">
      <c r="A438" s="5" t="s">
        <v>41</v>
      </c>
      <c r="B438" s="4" t="s">
        <v>435</v>
      </c>
      <c r="D438" s="46">
        <f>'RUF WORK FOR ALL'!D479</f>
        <v>4483</v>
      </c>
      <c r="E438" s="14">
        <f>D438</f>
        <v>4483</v>
      </c>
      <c r="G438" s="14"/>
    </row>
    <row r="439" spans="1:7" ht="12.75">
      <c r="A439" s="5" t="s">
        <v>41</v>
      </c>
      <c r="B439" s="4" t="s">
        <v>436</v>
      </c>
      <c r="D439" s="46">
        <f>'RUF WORK FOR ALL'!D480</f>
        <v>17983</v>
      </c>
      <c r="E439" s="14">
        <f>D439</f>
        <v>17983</v>
      </c>
      <c r="G439" s="14"/>
    </row>
    <row r="440" spans="1:7" ht="12.75">
      <c r="A440" s="5" t="s">
        <v>39</v>
      </c>
      <c r="B440" s="4" t="s">
        <v>380</v>
      </c>
      <c r="D440" s="46">
        <f>'RUF WORK FOR ALL'!D446</f>
        <v>63809</v>
      </c>
      <c r="E440" s="14">
        <f>D440</f>
        <v>63809</v>
      </c>
      <c r="G440" s="14"/>
    </row>
    <row r="441" spans="1:7" ht="12.75">
      <c r="A441" s="5" t="s">
        <v>38</v>
      </c>
      <c r="B441" s="11" t="s">
        <v>93</v>
      </c>
      <c r="C441" s="13"/>
      <c r="D441" s="9">
        <f>'RUF WORK FOR ALL'!D389</f>
        <v>1470</v>
      </c>
      <c r="E441" s="14"/>
      <c r="G441" s="14"/>
    </row>
    <row r="442" spans="1:7" ht="12.75">
      <c r="A442" s="5" t="s">
        <v>275</v>
      </c>
      <c r="B442" s="4" t="s">
        <v>93</v>
      </c>
      <c r="D442" s="9">
        <f>'RUF WORK FOR ALL'!D433</f>
        <v>616</v>
      </c>
      <c r="E442" s="14"/>
      <c r="G442" s="14"/>
    </row>
    <row r="443" spans="1:7" ht="12.75">
      <c r="A443" s="5" t="s">
        <v>39</v>
      </c>
      <c r="B443" s="4" t="s">
        <v>93</v>
      </c>
      <c r="D443" s="9">
        <f>'RUF WORK FOR ALL'!D447</f>
        <v>23320</v>
      </c>
      <c r="E443" s="14"/>
      <c r="G443" s="14"/>
    </row>
    <row r="444" spans="1:7" ht="12.75">
      <c r="A444" s="5" t="s">
        <v>36</v>
      </c>
      <c r="B444" s="4" t="s">
        <v>93</v>
      </c>
      <c r="D444" s="9">
        <f>'RUF WORK FOR ALL'!D463</f>
        <v>2096</v>
      </c>
      <c r="E444" s="14"/>
      <c r="G444" s="14"/>
    </row>
    <row r="445" spans="1:7" ht="12.75">
      <c r="A445" s="5" t="s">
        <v>41</v>
      </c>
      <c r="B445" s="4" t="s">
        <v>93</v>
      </c>
      <c r="D445" s="46">
        <f>'RUF WORK FOR ALL'!D481</f>
        <v>10148</v>
      </c>
      <c r="E445" s="14">
        <f>SUM(D441:D445)</f>
        <v>37650</v>
      </c>
      <c r="G445" s="14"/>
    </row>
    <row r="446" spans="1:7" ht="12.75">
      <c r="A446" s="5" t="s">
        <v>38</v>
      </c>
      <c r="B446" s="11" t="s">
        <v>212</v>
      </c>
      <c r="C446" s="13"/>
      <c r="D446" s="46">
        <f>'RUF WORK FOR ALL'!D390</f>
        <v>6666</v>
      </c>
      <c r="E446" s="14">
        <f>D446</f>
        <v>6666</v>
      </c>
      <c r="G446" s="14"/>
    </row>
    <row r="447" spans="1:7" ht="12.75">
      <c r="A447" s="5" t="s">
        <v>77</v>
      </c>
      <c r="B447" s="4" t="s">
        <v>238</v>
      </c>
      <c r="D447" s="9">
        <f>'RUF WORK FOR ALL'!D408</f>
        <v>186093</v>
      </c>
      <c r="E447" s="14"/>
      <c r="G447" s="14"/>
    </row>
    <row r="448" spans="1:7" ht="12.75">
      <c r="A448" s="5" t="s">
        <v>39</v>
      </c>
      <c r="B448" s="4" t="s">
        <v>238</v>
      </c>
      <c r="D448" s="9">
        <f>'RUF WORK FOR ALL'!D448</f>
        <v>173940</v>
      </c>
      <c r="E448" s="14"/>
      <c r="G448" s="14"/>
    </row>
    <row r="449" spans="1:7" ht="12.75">
      <c r="A449" s="5" t="s">
        <v>41</v>
      </c>
      <c r="B449" s="4" t="s">
        <v>238</v>
      </c>
      <c r="D449" s="46">
        <f>'RUF WORK FOR ALL'!D482</f>
        <v>23564</v>
      </c>
      <c r="E449" s="14">
        <f>SUM(D447:D449)</f>
        <v>383597</v>
      </c>
      <c r="G449" s="14"/>
    </row>
    <row r="450" spans="1:7" ht="12.75">
      <c r="A450" s="5" t="s">
        <v>77</v>
      </c>
      <c r="B450" s="4" t="s">
        <v>239</v>
      </c>
      <c r="D450" s="9">
        <f>'RUF WORK FOR ALL'!D409</f>
        <v>735362</v>
      </c>
      <c r="E450" s="14"/>
      <c r="G450" s="14"/>
    </row>
    <row r="451" spans="1:7" ht="12.75">
      <c r="A451" s="5" t="s">
        <v>38</v>
      </c>
      <c r="B451" s="11" t="s">
        <v>102</v>
      </c>
      <c r="C451" s="13"/>
      <c r="D451" s="9">
        <f>'RUF WORK FOR ALL'!D391</f>
        <v>8820</v>
      </c>
      <c r="E451" s="14"/>
      <c r="G451" s="14"/>
    </row>
    <row r="452" spans="1:7" ht="12.75">
      <c r="A452" s="5" t="s">
        <v>217</v>
      </c>
      <c r="B452" s="4" t="s">
        <v>102</v>
      </c>
      <c r="D452" s="9">
        <f>'RUF WORK FOR ALL'!D419</f>
        <v>7124</v>
      </c>
      <c r="E452" s="14"/>
      <c r="G452" s="14"/>
    </row>
    <row r="453" spans="1:7" ht="12.75">
      <c r="A453" s="5" t="s">
        <v>39</v>
      </c>
      <c r="B453" s="4" t="s">
        <v>102</v>
      </c>
      <c r="D453" s="9">
        <f>'RUF WORK FOR ALL'!D449</f>
        <v>488114</v>
      </c>
      <c r="E453" s="14"/>
      <c r="G453" s="14"/>
    </row>
    <row r="454" spans="1:7" ht="12.75">
      <c r="A454" s="5" t="s">
        <v>36</v>
      </c>
      <c r="B454" s="4" t="s">
        <v>102</v>
      </c>
      <c r="D454" s="9">
        <f>'RUF WORK FOR ALL'!D464</f>
        <v>2690</v>
      </c>
      <c r="E454" s="14"/>
      <c r="G454" s="14"/>
    </row>
    <row r="455" spans="1:7" ht="12.75">
      <c r="A455" s="5" t="s">
        <v>41</v>
      </c>
      <c r="B455" s="4" t="s">
        <v>437</v>
      </c>
      <c r="D455" s="46">
        <f>'RUF WORK FOR ALL'!D483</f>
        <v>317499</v>
      </c>
      <c r="E455" s="14">
        <f>SUM(D450:D455)</f>
        <v>1559609</v>
      </c>
      <c r="G455" s="14"/>
    </row>
    <row r="456" spans="1:7" ht="12.75">
      <c r="A456" s="5" t="s">
        <v>38</v>
      </c>
      <c r="B456" s="11" t="s">
        <v>103</v>
      </c>
      <c r="C456" s="13"/>
      <c r="D456" s="9">
        <f>'RUF WORK FOR ALL'!D392</f>
        <v>185000</v>
      </c>
      <c r="E456" s="14"/>
      <c r="G456" s="14"/>
    </row>
    <row r="457" spans="1:7" ht="12.75">
      <c r="A457" s="5" t="s">
        <v>39</v>
      </c>
      <c r="B457" s="4" t="s">
        <v>103</v>
      </c>
      <c r="D457" s="46">
        <f>'RUF WORK FOR ALL'!D450</f>
        <v>168000</v>
      </c>
      <c r="E457" s="14">
        <f>SUM(D456:D457)</f>
        <v>353000</v>
      </c>
      <c r="G457" s="14"/>
    </row>
    <row r="458" spans="1:7" ht="12.75">
      <c r="A458" s="5" t="s">
        <v>217</v>
      </c>
      <c r="B458" s="4" t="s">
        <v>467</v>
      </c>
      <c r="D458" s="9">
        <f>'RUF WORK FOR ALL'!D417</f>
        <v>207520</v>
      </c>
      <c r="E458" s="14"/>
      <c r="G458" s="14"/>
    </row>
    <row r="459" spans="1:7" ht="12.75">
      <c r="A459" s="5" t="s">
        <v>39</v>
      </c>
      <c r="B459" s="4" t="s">
        <v>468</v>
      </c>
      <c r="D459" s="9">
        <f>'RUF WORK FOR ALL'!D438</f>
        <v>525511</v>
      </c>
      <c r="E459" s="14"/>
      <c r="G459" s="14"/>
    </row>
    <row r="460" spans="1:7" ht="12.75">
      <c r="A460" s="5" t="s">
        <v>41</v>
      </c>
      <c r="B460" s="4" t="s">
        <v>469</v>
      </c>
      <c r="D460" s="9">
        <f>'RUF WORK FOR ALL'!D471</f>
        <v>81793</v>
      </c>
      <c r="E460" s="14"/>
      <c r="G460" s="14"/>
    </row>
    <row r="461" spans="1:7" ht="12.75">
      <c r="A461" s="5" t="s">
        <v>36</v>
      </c>
      <c r="B461" s="4" t="s">
        <v>470</v>
      </c>
      <c r="D461" s="9">
        <f>'RUF WORK FOR ALL'!D461</f>
        <v>260195</v>
      </c>
      <c r="E461" s="14"/>
      <c r="G461" s="14"/>
    </row>
    <row r="462" spans="1:7" ht="12.75">
      <c r="A462" s="5" t="s">
        <v>248</v>
      </c>
      <c r="B462" s="4" t="s">
        <v>472</v>
      </c>
      <c r="D462" s="9">
        <f>'RUF WORK FOR ALL'!D423</f>
        <v>614157</v>
      </c>
      <c r="E462" s="14"/>
      <c r="G462" s="14"/>
    </row>
    <row r="463" spans="1:7" ht="12.75">
      <c r="A463" s="5" t="s">
        <v>77</v>
      </c>
      <c r="B463" s="4" t="s">
        <v>471</v>
      </c>
      <c r="D463" s="46">
        <f>'RUF WORK FOR ALL'!D410</f>
        <v>194649</v>
      </c>
      <c r="E463" s="14">
        <f>SUM(D458:D463)</f>
        <v>1883825</v>
      </c>
      <c r="G463" s="14"/>
    </row>
    <row r="464" spans="1:7" ht="12.75">
      <c r="A464" s="5" t="s">
        <v>41</v>
      </c>
      <c r="B464" s="4" t="s">
        <v>177</v>
      </c>
      <c r="D464" s="9">
        <f>'RUF WORK FOR ALL'!D484</f>
        <v>57630</v>
      </c>
      <c r="E464" s="14"/>
      <c r="G464" s="14"/>
    </row>
    <row r="465" spans="1:7" ht="12.75">
      <c r="A465" s="5" t="s">
        <v>39</v>
      </c>
      <c r="B465" s="4" t="s">
        <v>381</v>
      </c>
      <c r="D465" s="9">
        <f>'RUF WORK FOR ALL'!D451</f>
        <v>52181</v>
      </c>
      <c r="E465" s="14"/>
      <c r="G465" s="14"/>
    </row>
    <row r="466" spans="1:7" ht="12.75">
      <c r="A466" s="5" t="s">
        <v>77</v>
      </c>
      <c r="B466" s="4" t="s">
        <v>240</v>
      </c>
      <c r="D466" s="46">
        <f>'RUF WORK FOR ALL'!D411</f>
        <v>52644</v>
      </c>
      <c r="E466" s="14">
        <f>SUM(D464:D466)</f>
        <v>162455</v>
      </c>
      <c r="G466" s="14"/>
    </row>
    <row r="467" spans="1:7" ht="12.75">
      <c r="A467" s="5" t="s">
        <v>39</v>
      </c>
      <c r="B467" s="4" t="s">
        <v>382</v>
      </c>
      <c r="D467" s="46">
        <f>'RUF WORK FOR ALL'!D452</f>
        <v>1458</v>
      </c>
      <c r="E467" s="14">
        <f>D467</f>
        <v>1458</v>
      </c>
      <c r="G467" s="14"/>
    </row>
    <row r="468" spans="1:7" ht="12.75">
      <c r="A468" s="5" t="s">
        <v>38</v>
      </c>
      <c r="B468" s="11" t="s">
        <v>104</v>
      </c>
      <c r="C468" s="13"/>
      <c r="D468" s="9">
        <f>'RUF WORK FOR ALL'!D393</f>
        <v>22201</v>
      </c>
      <c r="E468" s="14"/>
      <c r="G468" s="14"/>
    </row>
    <row r="469" spans="1:7" ht="12.75">
      <c r="A469" s="5" t="s">
        <v>77</v>
      </c>
      <c r="B469" s="4" t="s">
        <v>104</v>
      </c>
      <c r="D469" s="9">
        <f>'RUF WORK FOR ALL'!D412</f>
        <v>244084</v>
      </c>
      <c r="E469" s="14"/>
      <c r="G469" s="14"/>
    </row>
    <row r="470" spans="1:7" ht="12.75">
      <c r="A470" s="5" t="s">
        <v>39</v>
      </c>
      <c r="B470" s="4" t="s">
        <v>104</v>
      </c>
      <c r="D470" s="9">
        <f>'RUF WORK FOR ALL'!D453</f>
        <v>126390</v>
      </c>
      <c r="E470" s="14"/>
      <c r="G470" s="14"/>
    </row>
    <row r="471" spans="1:7" ht="12.75">
      <c r="A471" s="5" t="s">
        <v>36</v>
      </c>
      <c r="B471" s="4" t="s">
        <v>104</v>
      </c>
      <c r="D471" s="9">
        <f>'RUF WORK FOR ALL'!D465</f>
        <v>9648</v>
      </c>
      <c r="E471" s="14"/>
      <c r="G471" s="14"/>
    </row>
    <row r="472" spans="1:7" ht="12.75">
      <c r="A472" s="5" t="s">
        <v>41</v>
      </c>
      <c r="B472" s="4" t="s">
        <v>104</v>
      </c>
      <c r="D472" s="46">
        <f>'RUF WORK FOR ALL'!D485</f>
        <v>167884</v>
      </c>
      <c r="E472" s="14">
        <f>SUM(D468:D472)</f>
        <v>570207</v>
      </c>
      <c r="G472" s="14"/>
    </row>
    <row r="473" spans="1:7" ht="12.75">
      <c r="A473" s="5" t="s">
        <v>275</v>
      </c>
      <c r="B473" s="4" t="s">
        <v>279</v>
      </c>
      <c r="D473" s="46">
        <f>'RUF WORK FOR ALL'!D428</f>
        <v>1216682</v>
      </c>
      <c r="E473" s="14">
        <f>D473</f>
        <v>1216682</v>
      </c>
      <c r="G473" s="14"/>
    </row>
    <row r="474" spans="1:7" ht="12.75">
      <c r="A474" s="5" t="s">
        <v>275</v>
      </c>
      <c r="B474" s="4" t="s">
        <v>281</v>
      </c>
      <c r="D474" s="9">
        <f>'RUF WORK FOR ALL'!D434</f>
        <v>724</v>
      </c>
      <c r="E474" s="14"/>
      <c r="G474" s="14"/>
    </row>
    <row r="475" spans="1:7" ht="12.75">
      <c r="A475" s="5" t="s">
        <v>39</v>
      </c>
      <c r="B475" s="4" t="s">
        <v>281</v>
      </c>
      <c r="D475" s="9">
        <f>'RUF WORK FOR ALL'!D454</f>
        <v>1244</v>
      </c>
      <c r="E475" s="14"/>
      <c r="G475" s="14"/>
    </row>
    <row r="476" spans="1:7" ht="12.75">
      <c r="A476" s="5" t="s">
        <v>36</v>
      </c>
      <c r="B476" s="4" t="s">
        <v>281</v>
      </c>
      <c r="D476" s="9">
        <f>'RUF WORK FOR ALL'!D466</f>
        <v>424</v>
      </c>
      <c r="E476" s="14"/>
      <c r="G476" s="14"/>
    </row>
    <row r="477" spans="1:7" ht="12.75">
      <c r="A477" s="5" t="s">
        <v>41</v>
      </c>
      <c r="B477" s="4" t="s">
        <v>281</v>
      </c>
      <c r="D477" s="46">
        <f>'RUF WORK FOR ALL'!D486</f>
        <v>6782</v>
      </c>
      <c r="E477" s="14">
        <f>SUM(D474:D477)</f>
        <v>9174</v>
      </c>
      <c r="G477" s="14"/>
    </row>
    <row r="478" spans="1:7" ht="12.75">
      <c r="A478" s="5" t="s">
        <v>39</v>
      </c>
      <c r="B478" s="4" t="s">
        <v>169</v>
      </c>
      <c r="D478" s="9">
        <f>'RUF WORK FOR ALL'!D455</f>
        <v>57813</v>
      </c>
      <c r="E478" s="14"/>
      <c r="G478" s="14"/>
    </row>
    <row r="479" spans="1:7" ht="12.75">
      <c r="A479" s="5" t="s">
        <v>41</v>
      </c>
      <c r="B479" s="4" t="s">
        <v>169</v>
      </c>
      <c r="D479" s="46">
        <f>'RUF WORK FOR ALL'!D487</f>
        <v>57417</v>
      </c>
      <c r="E479" s="14">
        <f>SUM(D478:D479)</f>
        <v>115230</v>
      </c>
      <c r="G479" s="14"/>
    </row>
    <row r="480" spans="1:7" ht="12.75">
      <c r="A480" s="5" t="s">
        <v>38</v>
      </c>
      <c r="B480" s="11" t="s">
        <v>213</v>
      </c>
      <c r="C480" s="13"/>
      <c r="D480" s="9">
        <f>'RUF WORK FOR ALL'!D394</f>
        <v>68684</v>
      </c>
      <c r="E480" s="14"/>
      <c r="G480" s="14"/>
    </row>
    <row r="481" spans="1:7" ht="12.75">
      <c r="A481" s="5" t="s">
        <v>77</v>
      </c>
      <c r="B481" s="4" t="s">
        <v>213</v>
      </c>
      <c r="D481" s="9">
        <f>'RUF WORK FOR ALL'!D413</f>
        <v>98682</v>
      </c>
      <c r="E481" s="14"/>
      <c r="G481" s="14"/>
    </row>
    <row r="482" spans="1:7" ht="12.75">
      <c r="A482" s="5" t="s">
        <v>275</v>
      </c>
      <c r="B482" s="4" t="s">
        <v>213</v>
      </c>
      <c r="D482" s="9">
        <f>'RUF WORK FOR ALL'!D429</f>
        <v>3452389</v>
      </c>
      <c r="E482" s="14"/>
      <c r="G482" s="14"/>
    </row>
    <row r="483" spans="1:7" ht="12.75">
      <c r="A483" s="5" t="s">
        <v>39</v>
      </c>
      <c r="B483" s="4" t="s">
        <v>213</v>
      </c>
      <c r="D483" s="9">
        <f>'RUF WORK FOR ALL'!D456</f>
        <v>73575</v>
      </c>
      <c r="E483" s="14"/>
      <c r="G483" s="14"/>
    </row>
    <row r="484" spans="1:7" ht="12.75">
      <c r="A484" s="5" t="s">
        <v>41</v>
      </c>
      <c r="B484" s="4" t="s">
        <v>213</v>
      </c>
      <c r="D484" s="46">
        <f>'RUF WORK FOR ALL'!D488</f>
        <v>174549</v>
      </c>
      <c r="E484" s="14">
        <f>SUM(D480:D484)</f>
        <v>3867879</v>
      </c>
      <c r="G484" s="14"/>
    </row>
    <row r="485" spans="1:7" ht="12.75">
      <c r="A485" s="5" t="s">
        <v>248</v>
      </c>
      <c r="B485" s="4" t="s">
        <v>252</v>
      </c>
      <c r="D485" s="46">
        <f>'RUF WORK FOR ALL'!D424</f>
        <v>536060</v>
      </c>
      <c r="E485" s="14">
        <f>D485</f>
        <v>536060</v>
      </c>
      <c r="G485" s="14"/>
    </row>
    <row r="486" spans="1:7" ht="12.75">
      <c r="A486" s="5" t="s">
        <v>77</v>
      </c>
      <c r="B486" s="4" t="s">
        <v>241</v>
      </c>
      <c r="D486" s="9">
        <f>'RUF WORK FOR ALL'!D414</f>
        <v>19649</v>
      </c>
      <c r="E486" s="14"/>
      <c r="G486" s="14"/>
    </row>
    <row r="487" spans="1:7" ht="12.75">
      <c r="A487" s="5" t="s">
        <v>39</v>
      </c>
      <c r="B487" s="4" t="s">
        <v>241</v>
      </c>
      <c r="D487" s="46">
        <f>'RUF WORK FOR ALL'!D457</f>
        <v>114745</v>
      </c>
      <c r="E487" s="14">
        <f>SUM(D486:D487)</f>
        <v>134394</v>
      </c>
      <c r="G487" s="14"/>
    </row>
    <row r="488" spans="1:7" ht="12.75">
      <c r="A488" s="5" t="s">
        <v>275</v>
      </c>
      <c r="B488" s="4" t="s">
        <v>280</v>
      </c>
      <c r="D488" s="46">
        <f>'RUF WORK FOR ALL'!D430</f>
        <v>4500</v>
      </c>
      <c r="E488" s="14">
        <f>D488</f>
        <v>4500</v>
      </c>
      <c r="G488" s="14"/>
    </row>
    <row r="489" spans="1:7" ht="12.75">
      <c r="A489" s="5" t="s">
        <v>77</v>
      </c>
      <c r="B489" s="4" t="s">
        <v>242</v>
      </c>
      <c r="D489" s="9">
        <f>'RUF WORK FOR ALL'!D415</f>
        <v>28775</v>
      </c>
      <c r="E489" s="14"/>
      <c r="G489" s="14"/>
    </row>
    <row r="490" spans="1:7" ht="12.75">
      <c r="A490" s="5" t="s">
        <v>275</v>
      </c>
      <c r="B490" s="4" t="s">
        <v>242</v>
      </c>
      <c r="D490" s="46">
        <f>'RUF WORK FOR ALL'!D431</f>
        <v>9050</v>
      </c>
      <c r="E490" s="14">
        <f>SUM(D489:D490)</f>
        <v>37825</v>
      </c>
      <c r="G490" s="14">
        <f>SUM(E386:E490)</f>
        <v>20478677</v>
      </c>
    </row>
    <row r="491" spans="4:7" ht="12.75">
      <c r="D491" s="9"/>
      <c r="G491" s="14"/>
    </row>
    <row r="492" spans="2:7" ht="12.75">
      <c r="B492" s="1" t="s">
        <v>334</v>
      </c>
      <c r="C492" s="2"/>
      <c r="D492" s="3"/>
      <c r="G492" s="14"/>
    </row>
    <row r="493" spans="2:7" ht="15">
      <c r="B493" s="10" t="s">
        <v>2</v>
      </c>
      <c r="C493" s="11"/>
      <c r="D493" s="3" t="s">
        <v>3</v>
      </c>
      <c r="G493" s="14"/>
    </row>
    <row r="494" spans="2:7" ht="12.75">
      <c r="B494" s="11"/>
      <c r="C494" s="13"/>
      <c r="D494" s="12" t="s">
        <v>4</v>
      </c>
      <c r="G494" s="14"/>
    </row>
    <row r="495" spans="1:7" ht="12.75">
      <c r="A495" s="5" t="s">
        <v>41</v>
      </c>
      <c r="B495" s="4" t="s">
        <v>438</v>
      </c>
      <c r="D495" s="46">
        <f>'RUF WORK FOR ALL'!D520</f>
        <v>3635</v>
      </c>
      <c r="E495" s="14">
        <f aca="true" t="shared" si="0" ref="E495:E502">D495</f>
        <v>3635</v>
      </c>
      <c r="G495" s="14"/>
    </row>
    <row r="496" spans="1:7" ht="12.75">
      <c r="A496" s="5" t="s">
        <v>77</v>
      </c>
      <c r="B496" s="4" t="s">
        <v>383</v>
      </c>
      <c r="D496" s="46">
        <f>'RUF WORK FOR ALL'!D493</f>
        <v>8613</v>
      </c>
      <c r="E496" s="14">
        <f t="shared" si="0"/>
        <v>8613</v>
      </c>
      <c r="G496" s="14"/>
    </row>
    <row r="497" spans="1:7" ht="12.75">
      <c r="A497" s="5" t="s">
        <v>39</v>
      </c>
      <c r="B497" s="4" t="s">
        <v>340</v>
      </c>
      <c r="D497" s="46">
        <v>28042</v>
      </c>
      <c r="E497" s="14">
        <f>D497</f>
        <v>28042</v>
      </c>
      <c r="G497" s="14"/>
    </row>
    <row r="498" spans="1:7" ht="12.75">
      <c r="A498" s="5" t="s">
        <v>77</v>
      </c>
      <c r="B498" s="4" t="s">
        <v>384</v>
      </c>
      <c r="D498" s="46">
        <f>'RUF WORK FOR ALL'!D494</f>
        <v>57600</v>
      </c>
      <c r="E498" s="14">
        <f t="shared" si="0"/>
        <v>57600</v>
      </c>
      <c r="G498" s="14"/>
    </row>
    <row r="499" spans="1:7" ht="12.75">
      <c r="A499" s="5" t="s">
        <v>41</v>
      </c>
      <c r="B499" s="4" t="s">
        <v>439</v>
      </c>
      <c r="D499" s="46">
        <f>'RUF WORK FOR ALL'!D521</f>
        <v>420</v>
      </c>
      <c r="E499" s="14">
        <f t="shared" si="0"/>
        <v>420</v>
      </c>
      <c r="G499" s="14"/>
    </row>
    <row r="500" spans="1:7" ht="12.75">
      <c r="A500" s="5" t="s">
        <v>77</v>
      </c>
      <c r="B500" s="4" t="s">
        <v>385</v>
      </c>
      <c r="D500" s="46">
        <f>'RUF WORK FOR ALL'!D495</f>
        <v>81511</v>
      </c>
      <c r="E500" s="14">
        <f t="shared" si="0"/>
        <v>81511</v>
      </c>
      <c r="G500" s="14"/>
    </row>
    <row r="501" spans="1:7" ht="12.75">
      <c r="A501" s="5" t="s">
        <v>41</v>
      </c>
      <c r="B501" s="4" t="s">
        <v>440</v>
      </c>
      <c r="D501" s="46">
        <f>'RUF WORK FOR ALL'!D522</f>
        <v>17934</v>
      </c>
      <c r="E501" s="14">
        <f t="shared" si="0"/>
        <v>17934</v>
      </c>
      <c r="G501" s="14"/>
    </row>
    <row r="502" spans="1:7" ht="12.75">
      <c r="A502" s="5" t="s">
        <v>41</v>
      </c>
      <c r="B502" s="4" t="s">
        <v>441</v>
      </c>
      <c r="D502" s="46">
        <f>'RUF WORK FOR ALL'!D523</f>
        <v>50000</v>
      </c>
      <c r="E502" s="14">
        <f t="shared" si="0"/>
        <v>50000</v>
      </c>
      <c r="G502" s="14"/>
    </row>
    <row r="503" spans="1:7" ht="12.75">
      <c r="A503" s="5" t="s">
        <v>39</v>
      </c>
      <c r="B503" s="4" t="s">
        <v>341</v>
      </c>
      <c r="D503" s="9">
        <f>5571+310-4500</f>
        <v>1381</v>
      </c>
      <c r="E503" s="14"/>
      <c r="G503" s="14"/>
    </row>
    <row r="504" spans="1:7" ht="12.75">
      <c r="A504" s="5" t="s">
        <v>39</v>
      </c>
      <c r="B504" s="4" t="s">
        <v>342</v>
      </c>
      <c r="D504" s="9">
        <v>8337</v>
      </c>
      <c r="E504" s="14"/>
      <c r="G504" s="14"/>
    </row>
    <row r="505" spans="1:7" ht="12.75">
      <c r="A505" s="5" t="s">
        <v>39</v>
      </c>
      <c r="B505" s="4" t="s">
        <v>674</v>
      </c>
      <c r="D505" s="9">
        <v>7252</v>
      </c>
      <c r="E505" s="14"/>
      <c r="G505" s="14"/>
    </row>
    <row r="506" spans="1:7" ht="12.75">
      <c r="A506" s="5" t="s">
        <v>39</v>
      </c>
      <c r="B506" s="4" t="s">
        <v>675</v>
      </c>
      <c r="D506" s="9">
        <v>2912</v>
      </c>
      <c r="E506" s="14"/>
      <c r="G506" s="14"/>
    </row>
    <row r="507" spans="1:7" ht="12.75">
      <c r="A507" s="5" t="s">
        <v>39</v>
      </c>
      <c r="B507" s="4" t="s">
        <v>676</v>
      </c>
      <c r="D507" s="46">
        <v>2190</v>
      </c>
      <c r="E507" s="14">
        <f>SUM(D503:D507)</f>
        <v>22072</v>
      </c>
      <c r="G507" s="14"/>
    </row>
    <row r="508" spans="1:7" ht="12.75">
      <c r="A508" s="5" t="s">
        <v>39</v>
      </c>
      <c r="B508" s="4" t="s">
        <v>180</v>
      </c>
      <c r="D508" s="9">
        <f>'RUF WORK FOR ALL'!D504</f>
        <v>218959</v>
      </c>
      <c r="G508" s="14"/>
    </row>
    <row r="509" spans="1:7" ht="12.75">
      <c r="A509" s="5" t="s">
        <v>41</v>
      </c>
      <c r="B509" s="4" t="s">
        <v>180</v>
      </c>
      <c r="D509" s="9">
        <f>'RUF WORK FOR ALL'!D524</f>
        <v>277407</v>
      </c>
      <c r="G509" s="14"/>
    </row>
    <row r="510" spans="1:7" ht="12.75">
      <c r="A510" s="5" t="s">
        <v>77</v>
      </c>
      <c r="B510" s="4" t="s">
        <v>387</v>
      </c>
      <c r="D510" s="46">
        <f>'RUF WORK FOR ALL'!D497</f>
        <v>297925</v>
      </c>
      <c r="E510" s="14">
        <f>SUM(D508:D510)</f>
        <v>794291</v>
      </c>
      <c r="G510" s="14"/>
    </row>
    <row r="511" spans="1:7" ht="12.75">
      <c r="A511" s="5" t="s">
        <v>77</v>
      </c>
      <c r="B511" s="4" t="s">
        <v>181</v>
      </c>
      <c r="D511" s="9">
        <f>'RUF WORK FOR ALL'!D498</f>
        <v>187265</v>
      </c>
      <c r="E511" s="14"/>
      <c r="G511" s="14"/>
    </row>
    <row r="512" spans="1:7" ht="12.75">
      <c r="A512" s="5" t="s">
        <v>39</v>
      </c>
      <c r="B512" s="4" t="s">
        <v>181</v>
      </c>
      <c r="D512" s="9">
        <f>'RUF WORK FOR ALL'!D505</f>
        <v>87180</v>
      </c>
      <c r="E512" s="14"/>
      <c r="G512" s="14"/>
    </row>
    <row r="513" spans="1:7" ht="12.75">
      <c r="A513" s="5" t="s">
        <v>41</v>
      </c>
      <c r="B513" s="4" t="s">
        <v>181</v>
      </c>
      <c r="D513" s="46">
        <f>'RUF WORK FOR ALL'!D525</f>
        <v>540</v>
      </c>
      <c r="E513" s="14">
        <f>SUM(D511:D513)</f>
        <v>274985</v>
      </c>
      <c r="G513" s="14"/>
    </row>
    <row r="514" spans="1:7" ht="12.75">
      <c r="A514" s="5" t="s">
        <v>39</v>
      </c>
      <c r="B514" s="4" t="s">
        <v>390</v>
      </c>
      <c r="D514" s="46">
        <f>'RUF WORK FOR ALL'!D506</f>
        <v>9047</v>
      </c>
      <c r="E514" s="14">
        <f>D514</f>
        <v>9047</v>
      </c>
      <c r="G514" s="14"/>
    </row>
    <row r="515" spans="1:7" ht="12.75">
      <c r="A515" s="5" t="s">
        <v>77</v>
      </c>
      <c r="B515" s="4" t="s">
        <v>182</v>
      </c>
      <c r="D515" s="9">
        <f>'RUF WORK FOR ALL'!D499</f>
        <v>116370</v>
      </c>
      <c r="E515" s="14"/>
      <c r="G515" s="14"/>
    </row>
    <row r="516" spans="1:7" ht="12.75">
      <c r="A516" s="5" t="s">
        <v>39</v>
      </c>
      <c r="B516" s="4" t="s">
        <v>182</v>
      </c>
      <c r="D516" s="9">
        <f>'RUF WORK FOR ALL'!D507</f>
        <v>33685</v>
      </c>
      <c r="E516" s="14"/>
      <c r="G516" s="14"/>
    </row>
    <row r="517" spans="1:7" ht="12.75">
      <c r="A517" s="5" t="s">
        <v>41</v>
      </c>
      <c r="B517" s="4" t="s">
        <v>182</v>
      </c>
      <c r="D517" s="46">
        <f>'RUF WORK FOR ALL'!D526</f>
        <v>1600</v>
      </c>
      <c r="E517" s="14">
        <f>SUM(D515:D517)</f>
        <v>151655</v>
      </c>
      <c r="G517" s="14"/>
    </row>
    <row r="518" spans="1:7" ht="12.75">
      <c r="A518" s="5" t="s">
        <v>77</v>
      </c>
      <c r="B518" s="4" t="s">
        <v>388</v>
      </c>
      <c r="D518" s="9">
        <f>'RUF WORK FOR ALL'!D500</f>
        <v>28308</v>
      </c>
      <c r="E518" s="14"/>
      <c r="G518" s="14"/>
    </row>
    <row r="519" spans="1:7" ht="12.75">
      <c r="A519" s="5" t="s">
        <v>39</v>
      </c>
      <c r="B519" s="4" t="s">
        <v>388</v>
      </c>
      <c r="D519" s="9">
        <f>'RUF WORK FOR ALL'!D508</f>
        <v>27601</v>
      </c>
      <c r="E519" s="14"/>
      <c r="G519" s="14"/>
    </row>
    <row r="520" spans="1:7" ht="12.75">
      <c r="A520" s="5" t="s">
        <v>41</v>
      </c>
      <c r="B520" s="4" t="s">
        <v>388</v>
      </c>
      <c r="D520" s="46">
        <f>'RUF WORK FOR ALL'!D527</f>
        <v>32608</v>
      </c>
      <c r="E520" s="14">
        <f>SUM(D518:D520)</f>
        <v>88517</v>
      </c>
      <c r="G520" s="14"/>
    </row>
    <row r="521" spans="1:7" ht="12.75">
      <c r="A521" s="5" t="s">
        <v>39</v>
      </c>
      <c r="B521" s="4" t="s">
        <v>391</v>
      </c>
      <c r="D521" s="46">
        <f>'RUF WORK FOR ALL'!D509</f>
        <v>2165</v>
      </c>
      <c r="E521" s="14">
        <f>D521</f>
        <v>2165</v>
      </c>
      <c r="G521" s="14"/>
    </row>
    <row r="522" spans="1:7" ht="12.75">
      <c r="A522" s="5" t="s">
        <v>41</v>
      </c>
      <c r="B522" s="4" t="s">
        <v>442</v>
      </c>
      <c r="D522" s="46">
        <f>'RUF WORK FOR ALL'!D528</f>
        <v>39679</v>
      </c>
      <c r="E522" s="14">
        <f>D522</f>
        <v>39679</v>
      </c>
      <c r="G522" s="14"/>
    </row>
    <row r="523" spans="1:7" ht="12.75">
      <c r="A523" s="5" t="s">
        <v>39</v>
      </c>
      <c r="B523" s="4" t="s">
        <v>346</v>
      </c>
      <c r="D523" s="49">
        <v>4055</v>
      </c>
      <c r="E523" s="14">
        <f>D523</f>
        <v>4055</v>
      </c>
      <c r="G523" s="14"/>
    </row>
    <row r="524" spans="1:7" ht="12.75">
      <c r="A524" s="5" t="s">
        <v>77</v>
      </c>
      <c r="B524" s="4" t="s">
        <v>389</v>
      </c>
      <c r="D524" s="9">
        <f>'RUF WORK FOR ALL'!D501</f>
        <v>4286</v>
      </c>
      <c r="E524" s="14"/>
      <c r="G524" s="14"/>
    </row>
    <row r="525" spans="1:7" ht="12.75">
      <c r="A525" s="5" t="s">
        <v>39</v>
      </c>
      <c r="B525" s="4" t="s">
        <v>184</v>
      </c>
      <c r="D525" s="46">
        <f>'RUF WORK FOR ALL'!D503</f>
        <v>678851</v>
      </c>
      <c r="E525" s="14">
        <f>SUM(D524:D525)</f>
        <v>683137</v>
      </c>
      <c r="G525" s="14"/>
    </row>
    <row r="526" spans="1:7" ht="12.75">
      <c r="A526" s="5" t="s">
        <v>41</v>
      </c>
      <c r="B526" s="4" t="s">
        <v>443</v>
      </c>
      <c r="D526" s="46">
        <f>'RUF WORK FOR ALL'!D529</f>
        <v>20972</v>
      </c>
      <c r="E526" s="14">
        <f>D526</f>
        <v>20972</v>
      </c>
      <c r="G526" s="14"/>
    </row>
    <row r="527" spans="1:7" ht="12.75">
      <c r="A527" s="5" t="s">
        <v>39</v>
      </c>
      <c r="B527" s="4" t="s">
        <v>190</v>
      </c>
      <c r="D527" s="46">
        <f>'RUF WORK FOR ALL'!D510</f>
        <v>4900</v>
      </c>
      <c r="E527" s="14">
        <f>D527</f>
        <v>4900</v>
      </c>
      <c r="G527" s="14"/>
    </row>
    <row r="528" spans="1:7" ht="12.75">
      <c r="A528" s="5" t="s">
        <v>39</v>
      </c>
      <c r="B528" s="4" t="s">
        <v>392</v>
      </c>
      <c r="D528" s="46">
        <f>'RUF WORK FOR ALL'!D511</f>
        <v>14119</v>
      </c>
      <c r="E528" s="14">
        <f>D528</f>
        <v>14119</v>
      </c>
      <c r="G528" s="14"/>
    </row>
    <row r="529" spans="1:7" ht="12.75">
      <c r="A529" s="5" t="s">
        <v>77</v>
      </c>
      <c r="B529" s="4" t="s">
        <v>474</v>
      </c>
      <c r="D529" s="9">
        <f>'RUF WORK FOR ALL'!D496</f>
        <v>4225</v>
      </c>
      <c r="E529" s="14"/>
      <c r="G529" s="14"/>
    </row>
    <row r="530" spans="1:7" ht="12.75">
      <c r="A530" s="5" t="s">
        <v>41</v>
      </c>
      <c r="B530" s="4" t="s">
        <v>473</v>
      </c>
      <c r="D530" s="9">
        <f>'RUF WORK FOR ALL'!D530</f>
        <v>522158</v>
      </c>
      <c r="E530" s="14"/>
      <c r="G530" s="14"/>
    </row>
    <row r="531" spans="1:7" ht="12.75">
      <c r="A531" s="5" t="s">
        <v>39</v>
      </c>
      <c r="B531" s="4" t="s">
        <v>393</v>
      </c>
      <c r="D531" s="46">
        <f>'RUF WORK FOR ALL'!D512</f>
        <v>389639</v>
      </c>
      <c r="E531" s="14">
        <f>SUM(D529:D531)</f>
        <v>916022</v>
      </c>
      <c r="G531" s="14"/>
    </row>
    <row r="532" spans="1:7" ht="12.75">
      <c r="A532" s="5" t="s">
        <v>41</v>
      </c>
      <c r="B532" s="4" t="s">
        <v>445</v>
      </c>
      <c r="D532" s="9">
        <f>'RUF WORK FOR ALL'!D531</f>
        <v>2220</v>
      </c>
      <c r="E532" s="14"/>
      <c r="G532" s="14"/>
    </row>
    <row r="533" spans="1:7" ht="12.75">
      <c r="A533" s="5" t="s">
        <v>41</v>
      </c>
      <c r="B533" s="4" t="s">
        <v>446</v>
      </c>
      <c r="D533" s="46">
        <f>'RUF WORK FOR ALL'!D532</f>
        <v>26903</v>
      </c>
      <c r="E533" s="14">
        <f>SUM(D532:D533)</f>
        <v>29123</v>
      </c>
      <c r="G533" s="14"/>
    </row>
    <row r="534" spans="1:7" ht="12.75">
      <c r="A534" s="5" t="s">
        <v>77</v>
      </c>
      <c r="B534" s="4" t="s">
        <v>186</v>
      </c>
      <c r="D534" s="46">
        <f>'RUF WORK FOR ALL'!D502</f>
        <v>159419</v>
      </c>
      <c r="E534" s="14">
        <f>D534</f>
        <v>159419</v>
      </c>
      <c r="G534" s="14">
        <f>SUM(E495:E534)</f>
        <v>3461913</v>
      </c>
    </row>
    <row r="535" spans="4:7" ht="12.75">
      <c r="D535" s="9"/>
      <c r="G535" s="14"/>
    </row>
    <row r="536" spans="4:7" ht="12.75">
      <c r="D536" s="9"/>
      <c r="G536" s="14"/>
    </row>
    <row r="537" spans="2:7" ht="12.75">
      <c r="B537" s="1" t="s">
        <v>335</v>
      </c>
      <c r="C537" s="2"/>
      <c r="D537" s="3"/>
      <c r="G537" s="14"/>
    </row>
    <row r="538" spans="2:7" ht="15">
      <c r="B538" s="10" t="s">
        <v>2</v>
      </c>
      <c r="C538" s="11"/>
      <c r="D538" s="3" t="s">
        <v>3</v>
      </c>
      <c r="G538" s="14"/>
    </row>
    <row r="539" spans="2:7" ht="12.75">
      <c r="B539" s="11"/>
      <c r="C539" s="13"/>
      <c r="D539" s="12" t="s">
        <v>4</v>
      </c>
      <c r="G539" s="14"/>
    </row>
    <row r="540" spans="1:7" ht="12.75">
      <c r="A540" s="5" t="s">
        <v>217</v>
      </c>
      <c r="B540" s="16" t="s">
        <v>179</v>
      </c>
      <c r="C540" s="3"/>
      <c r="D540" s="9">
        <f>'RUF WORK FOR ALL'!D541</f>
        <v>2954</v>
      </c>
      <c r="G540" s="14"/>
    </row>
    <row r="541" spans="1:7" ht="12.75">
      <c r="A541" s="5" t="s">
        <v>248</v>
      </c>
      <c r="B541" s="16" t="s">
        <v>179</v>
      </c>
      <c r="C541" s="3"/>
      <c r="D541" s="9">
        <f>'RUF WORK FOR ALL'!D543</f>
        <v>74466</v>
      </c>
      <c r="G541" s="14"/>
    </row>
    <row r="542" spans="1:7" ht="12.75">
      <c r="A542" s="5" t="s">
        <v>39</v>
      </c>
      <c r="B542" s="16" t="s">
        <v>179</v>
      </c>
      <c r="C542" s="3"/>
      <c r="D542" s="9">
        <f>'RUF WORK FOR ALL'!D585</f>
        <v>52865</v>
      </c>
      <c r="E542" s="14"/>
      <c r="G542" s="14"/>
    </row>
    <row r="543" spans="1:7" ht="12.75">
      <c r="A543" s="5" t="s">
        <v>36</v>
      </c>
      <c r="B543" s="16" t="s">
        <v>179</v>
      </c>
      <c r="C543" s="3"/>
      <c r="D543" s="9">
        <f>'RUF WORK FOR ALL'!D587</f>
        <v>32913</v>
      </c>
      <c r="G543" s="14"/>
    </row>
    <row r="544" spans="1:7" ht="12.75">
      <c r="A544" s="5" t="s">
        <v>41</v>
      </c>
      <c r="B544" s="16" t="s">
        <v>179</v>
      </c>
      <c r="C544" s="3"/>
      <c r="D544" s="46">
        <f>'RUF WORK FOR ALL'!D589</f>
        <v>17689</v>
      </c>
      <c r="E544" s="14">
        <f>SUM(D540:D544)</f>
        <v>180887</v>
      </c>
      <c r="G544" s="14"/>
    </row>
    <row r="545" spans="1:7" ht="12.75">
      <c r="A545" s="5" t="s">
        <v>38</v>
      </c>
      <c r="B545" s="4" t="s">
        <v>214</v>
      </c>
      <c r="D545" s="46">
        <f>'RUF WORK FOR ALL'!D538</f>
        <v>45935</v>
      </c>
      <c r="E545" s="14">
        <f>D545</f>
        <v>45935</v>
      </c>
      <c r="G545" s="14"/>
    </row>
    <row r="546" spans="1:7" ht="12.75">
      <c r="A546" s="5" t="s">
        <v>38</v>
      </c>
      <c r="B546" s="4" t="s">
        <v>105</v>
      </c>
      <c r="D546" s="9">
        <f>'RUF WORK FOR ALL'!D539</f>
        <v>2200</v>
      </c>
      <c r="E546" s="14"/>
      <c r="G546" s="14"/>
    </row>
    <row r="547" spans="1:7" ht="12.75">
      <c r="A547" s="5" t="s">
        <v>217</v>
      </c>
      <c r="B547" s="16" t="s">
        <v>105</v>
      </c>
      <c r="C547" s="3"/>
      <c r="D547" s="9">
        <f>'RUF WORK FOR ALL'!D542</f>
        <v>4550</v>
      </c>
      <c r="E547" s="14"/>
      <c r="G547" s="14"/>
    </row>
    <row r="548" spans="1:7" ht="12.75">
      <c r="A548" s="5" t="s">
        <v>41</v>
      </c>
      <c r="B548" s="16" t="s">
        <v>105</v>
      </c>
      <c r="C548" s="3"/>
      <c r="D548" s="9">
        <f>'RUF WORK FOR ALL'!D590</f>
        <v>367614</v>
      </c>
      <c r="E548" s="14"/>
      <c r="G548" s="14"/>
    </row>
    <row r="549" spans="1:7" ht="12.75">
      <c r="A549" s="5" t="s">
        <v>39</v>
      </c>
      <c r="B549" s="16" t="s">
        <v>105</v>
      </c>
      <c r="C549" s="3"/>
      <c r="D549" s="9">
        <f>'RUF WORK FOR ALL'!D586</f>
        <v>872284</v>
      </c>
      <c r="E549" s="14"/>
      <c r="G549" s="14"/>
    </row>
    <row r="550" spans="1:7" ht="12.75">
      <c r="A550" s="5" t="s">
        <v>36</v>
      </c>
      <c r="B550" s="16" t="s">
        <v>105</v>
      </c>
      <c r="C550" s="3"/>
      <c r="D550" s="9">
        <f>'RUF WORK FOR ALL'!D588</f>
        <v>201952</v>
      </c>
      <c r="E550" s="14"/>
      <c r="G550" s="14"/>
    </row>
    <row r="551" spans="1:7" ht="12.75">
      <c r="A551" s="5" t="s">
        <v>248</v>
      </c>
      <c r="B551" s="16" t="s">
        <v>254</v>
      </c>
      <c r="C551" s="3"/>
      <c r="D551" s="9">
        <f>'RUF WORK FOR ALL'!D545</f>
        <v>1635348</v>
      </c>
      <c r="E551" s="14"/>
      <c r="G551" s="14"/>
    </row>
    <row r="552" spans="1:7" ht="12.75">
      <c r="A552" s="5" t="s">
        <v>248</v>
      </c>
      <c r="B552" s="16" t="s">
        <v>255</v>
      </c>
      <c r="C552" s="3"/>
      <c r="D552" s="9">
        <f>'RUF WORK FOR ALL'!D546</f>
        <v>57601</v>
      </c>
      <c r="G552" s="14"/>
    </row>
    <row r="553" spans="1:7" ht="12.75">
      <c r="A553" s="5" t="s">
        <v>248</v>
      </c>
      <c r="B553" s="16" t="s">
        <v>256</v>
      </c>
      <c r="C553" s="3"/>
      <c r="D553" s="9">
        <f>'RUF WORK FOR ALL'!D547</f>
        <v>97115</v>
      </c>
      <c r="G553" s="14"/>
    </row>
    <row r="554" spans="1:7" ht="12.75">
      <c r="A554" s="5" t="s">
        <v>248</v>
      </c>
      <c r="B554" s="16" t="s">
        <v>257</v>
      </c>
      <c r="C554" s="3"/>
      <c r="D554" s="9">
        <f>'RUF WORK FOR ALL'!D548</f>
        <v>33506</v>
      </c>
      <c r="G554" s="14"/>
    </row>
    <row r="555" spans="1:7" ht="12.75">
      <c r="A555" s="5" t="s">
        <v>248</v>
      </c>
      <c r="B555" s="16" t="s">
        <v>253</v>
      </c>
      <c r="C555" s="3"/>
      <c r="D555" s="9">
        <f>'RUF WORK FOR ALL'!D544</f>
        <v>73130</v>
      </c>
      <c r="G555" s="14"/>
    </row>
    <row r="556" spans="1:7" ht="12.75">
      <c r="A556" s="5" t="s">
        <v>275</v>
      </c>
      <c r="B556" s="16" t="s">
        <v>253</v>
      </c>
      <c r="C556" s="3"/>
      <c r="D556" s="9">
        <f>'RUF WORK FOR ALL'!D550</f>
        <v>33513</v>
      </c>
      <c r="G556" s="14"/>
    </row>
    <row r="557" spans="1:7" ht="12.75">
      <c r="A557" s="5" t="s">
        <v>248</v>
      </c>
      <c r="B557" s="16" t="s">
        <v>258</v>
      </c>
      <c r="C557" s="3"/>
      <c r="D557" s="46">
        <f>'RUF WORK FOR ALL'!D549</f>
        <v>2635</v>
      </c>
      <c r="E557" s="14">
        <f>SUM(D546:D557)</f>
        <v>3381448</v>
      </c>
      <c r="G557" s="14"/>
    </row>
    <row r="558" spans="1:7" ht="12.75">
      <c r="A558" s="5" t="s">
        <v>275</v>
      </c>
      <c r="B558" s="16" t="s">
        <v>283</v>
      </c>
      <c r="C558" s="3"/>
      <c r="D558" s="9">
        <f>'RUF WORK FOR ALL'!D551</f>
        <v>57181</v>
      </c>
      <c r="G558" s="14"/>
    </row>
    <row r="559" spans="1:7" ht="12.75">
      <c r="A559" s="5" t="s">
        <v>275</v>
      </c>
      <c r="B559" s="16" t="s">
        <v>285</v>
      </c>
      <c r="C559" s="3"/>
      <c r="D559" s="9">
        <f>'RUF WORK FOR ALL'!D552</f>
        <v>77375</v>
      </c>
      <c r="G559" s="14"/>
    </row>
    <row r="560" spans="1:7" ht="12.75">
      <c r="A560" s="5" t="s">
        <v>275</v>
      </c>
      <c r="B560" s="16" t="s">
        <v>284</v>
      </c>
      <c r="C560" s="3"/>
      <c r="D560" s="9">
        <f>'RUF WORK FOR ALL'!D553</f>
        <v>28032</v>
      </c>
      <c r="G560" s="14"/>
    </row>
    <row r="561" spans="1:7" ht="12.75">
      <c r="A561" s="5" t="s">
        <v>275</v>
      </c>
      <c r="B561" s="16" t="s">
        <v>286</v>
      </c>
      <c r="C561" s="3"/>
      <c r="D561" s="9">
        <f>'RUF WORK FOR ALL'!D554</f>
        <v>18542</v>
      </c>
      <c r="G561" s="14"/>
    </row>
    <row r="562" spans="1:7" ht="12.75">
      <c r="A562" s="5" t="s">
        <v>275</v>
      </c>
      <c r="B562" s="16" t="s">
        <v>287</v>
      </c>
      <c r="C562" s="3"/>
      <c r="D562" s="9">
        <f>'RUF WORK FOR ALL'!D555</f>
        <v>21935</v>
      </c>
      <c r="G562" s="14"/>
    </row>
    <row r="563" spans="1:7" ht="12.75">
      <c r="A563" s="5" t="s">
        <v>275</v>
      </c>
      <c r="B563" s="16" t="s">
        <v>288</v>
      </c>
      <c r="C563" s="3"/>
      <c r="D563" s="9">
        <f>'RUF WORK FOR ALL'!D556</f>
        <v>17433</v>
      </c>
      <c r="G563" s="14"/>
    </row>
    <row r="564" spans="1:7" ht="12.75">
      <c r="A564" s="5" t="s">
        <v>275</v>
      </c>
      <c r="B564" s="16" t="s">
        <v>289</v>
      </c>
      <c r="C564" s="3"/>
      <c r="D564" s="9">
        <f>'RUF WORK FOR ALL'!D557</f>
        <v>29255</v>
      </c>
      <c r="G564" s="14"/>
    </row>
    <row r="565" spans="1:7" ht="12.75">
      <c r="A565" s="5" t="s">
        <v>275</v>
      </c>
      <c r="B565" s="16" t="s">
        <v>290</v>
      </c>
      <c r="C565" s="3"/>
      <c r="D565" s="9">
        <f>'RUF WORK FOR ALL'!D558</f>
        <v>8113</v>
      </c>
      <c r="G565" s="14"/>
    </row>
    <row r="566" spans="1:7" ht="12.75">
      <c r="A566" s="5" t="s">
        <v>275</v>
      </c>
      <c r="B566" s="16" t="s">
        <v>291</v>
      </c>
      <c r="C566" s="3"/>
      <c r="D566" s="9">
        <f>'RUF WORK FOR ALL'!D559</f>
        <v>35856</v>
      </c>
      <c r="G566" s="14"/>
    </row>
    <row r="567" spans="1:7" ht="12.75">
      <c r="A567" s="5" t="s">
        <v>275</v>
      </c>
      <c r="B567" s="16" t="s">
        <v>292</v>
      </c>
      <c r="C567" s="3"/>
      <c r="D567" s="9">
        <f>'RUF WORK FOR ALL'!D560</f>
        <v>17910</v>
      </c>
      <c r="G567" s="14"/>
    </row>
    <row r="568" spans="1:7" ht="12.75">
      <c r="A568" s="5" t="s">
        <v>275</v>
      </c>
      <c r="B568" s="16" t="s">
        <v>293</v>
      </c>
      <c r="C568" s="3"/>
      <c r="D568" s="9">
        <f>'RUF WORK FOR ALL'!D561</f>
        <v>57060</v>
      </c>
      <c r="G568" s="14"/>
    </row>
    <row r="569" spans="1:7" ht="12.75">
      <c r="A569" s="5" t="s">
        <v>275</v>
      </c>
      <c r="B569" s="16" t="s">
        <v>294</v>
      </c>
      <c r="C569" s="3"/>
      <c r="D569" s="9">
        <f>'RUF WORK FOR ALL'!D562</f>
        <v>15000</v>
      </c>
      <c r="G569" s="14"/>
    </row>
    <row r="570" spans="1:7" ht="12.75">
      <c r="A570" s="5" t="s">
        <v>275</v>
      </c>
      <c r="B570" s="16" t="s">
        <v>295</v>
      </c>
      <c r="C570" s="3"/>
      <c r="D570" s="9">
        <f>'RUF WORK FOR ALL'!D563</f>
        <v>59957</v>
      </c>
      <c r="G570" s="14"/>
    </row>
    <row r="571" spans="1:7" ht="12.75">
      <c r="A571" s="5" t="s">
        <v>275</v>
      </c>
      <c r="B571" s="16" t="s">
        <v>296</v>
      </c>
      <c r="C571" s="3"/>
      <c r="D571" s="9">
        <f>'RUF WORK FOR ALL'!D564</f>
        <v>27116</v>
      </c>
      <c r="G571" s="14"/>
    </row>
    <row r="572" spans="1:7" ht="12.75">
      <c r="A572" s="5" t="s">
        <v>275</v>
      </c>
      <c r="B572" s="16" t="s">
        <v>308</v>
      </c>
      <c r="C572" s="3"/>
      <c r="D572" s="9">
        <f>'RUF WORK FOR ALL'!D576</f>
        <v>28906</v>
      </c>
      <c r="G572" s="14"/>
    </row>
    <row r="573" spans="1:7" ht="12.75">
      <c r="A573" s="5" t="s">
        <v>275</v>
      </c>
      <c r="B573" s="16" t="s">
        <v>297</v>
      </c>
      <c r="C573" s="3"/>
      <c r="D573" s="9">
        <f>'RUF WORK FOR ALL'!D565</f>
        <v>51882</v>
      </c>
      <c r="G573" s="14"/>
    </row>
    <row r="574" spans="1:7" ht="12.75">
      <c r="A574" s="5" t="s">
        <v>275</v>
      </c>
      <c r="B574" s="16" t="s">
        <v>298</v>
      </c>
      <c r="C574" s="3"/>
      <c r="D574" s="9">
        <f>'RUF WORK FOR ALL'!D566</f>
        <v>28536</v>
      </c>
      <c r="G574" s="14"/>
    </row>
    <row r="575" spans="1:7" ht="12.75">
      <c r="A575" s="5" t="s">
        <v>275</v>
      </c>
      <c r="B575" s="16" t="s">
        <v>299</v>
      </c>
      <c r="C575" s="3"/>
      <c r="D575" s="9">
        <f>'RUF WORK FOR ALL'!D567</f>
        <v>42689</v>
      </c>
      <c r="G575" s="14"/>
    </row>
    <row r="576" spans="1:7" ht="12.75">
      <c r="A576" s="5" t="s">
        <v>275</v>
      </c>
      <c r="B576" s="16" t="s">
        <v>300</v>
      </c>
      <c r="C576" s="3"/>
      <c r="D576" s="9">
        <f>'RUF WORK FOR ALL'!D568</f>
        <v>39084</v>
      </c>
      <c r="G576" s="14"/>
    </row>
    <row r="577" spans="1:7" ht="12.75">
      <c r="A577" s="5" t="s">
        <v>275</v>
      </c>
      <c r="B577" s="16" t="s">
        <v>301</v>
      </c>
      <c r="C577" s="3"/>
      <c r="D577" s="9">
        <f>'RUF WORK FOR ALL'!D569</f>
        <v>8465</v>
      </c>
      <c r="G577" s="14"/>
    </row>
    <row r="578" spans="1:7" ht="12.75">
      <c r="A578" s="5" t="s">
        <v>275</v>
      </c>
      <c r="B578" s="16" t="s">
        <v>302</v>
      </c>
      <c r="C578" s="3"/>
      <c r="D578" s="9">
        <f>'RUF WORK FOR ALL'!D570</f>
        <v>7907</v>
      </c>
      <c r="G578" s="14"/>
    </row>
    <row r="579" spans="1:7" ht="12.75">
      <c r="A579" s="5" t="s">
        <v>275</v>
      </c>
      <c r="B579" s="16" t="s">
        <v>303</v>
      </c>
      <c r="C579" s="3"/>
      <c r="D579" s="9">
        <f>'RUF WORK FOR ALL'!D571</f>
        <v>9701</v>
      </c>
      <c r="G579" s="14"/>
    </row>
    <row r="580" spans="1:7" ht="12.75">
      <c r="A580" s="5" t="s">
        <v>275</v>
      </c>
      <c r="B580" s="16" t="s">
        <v>304</v>
      </c>
      <c r="C580" s="3"/>
      <c r="D580" s="9">
        <f>'RUF WORK FOR ALL'!D572</f>
        <v>4606</v>
      </c>
      <c r="G580" s="14"/>
    </row>
    <row r="581" spans="1:7" ht="12.75">
      <c r="A581" s="5" t="s">
        <v>275</v>
      </c>
      <c r="B581" s="16" t="s">
        <v>305</v>
      </c>
      <c r="C581" s="3"/>
      <c r="D581" s="9">
        <f>'RUF WORK FOR ALL'!D573</f>
        <v>4607</v>
      </c>
      <c r="G581" s="14"/>
    </row>
    <row r="582" spans="1:7" ht="12.75">
      <c r="A582" s="5" t="s">
        <v>275</v>
      </c>
      <c r="B582" s="16" t="s">
        <v>306</v>
      </c>
      <c r="C582" s="3"/>
      <c r="D582" s="9">
        <f>'RUF WORK FOR ALL'!D574</f>
        <v>4977</v>
      </c>
      <c r="G582" s="14"/>
    </row>
    <row r="583" spans="1:7" ht="12.75">
      <c r="A583" s="5" t="s">
        <v>275</v>
      </c>
      <c r="B583" s="16" t="s">
        <v>309</v>
      </c>
      <c r="C583" s="3"/>
      <c r="D583" s="9">
        <f>'RUF WORK FOR ALL'!D577</f>
        <v>1583</v>
      </c>
      <c r="G583" s="14"/>
    </row>
    <row r="584" spans="1:7" ht="12.75">
      <c r="A584" s="5" t="s">
        <v>275</v>
      </c>
      <c r="B584" s="16" t="s">
        <v>310</v>
      </c>
      <c r="C584" s="3"/>
      <c r="D584" s="9">
        <f>'RUF WORK FOR ALL'!D578</f>
        <v>1757</v>
      </c>
      <c r="G584" s="14"/>
    </row>
    <row r="585" spans="1:7" ht="12.75">
      <c r="A585" s="5" t="s">
        <v>275</v>
      </c>
      <c r="B585" s="16" t="s">
        <v>312</v>
      </c>
      <c r="C585" s="3"/>
      <c r="D585" s="9">
        <f>'RUF WORK FOR ALL'!D580</f>
        <v>1742</v>
      </c>
      <c r="G585" s="14"/>
    </row>
    <row r="586" spans="1:7" ht="12.75">
      <c r="A586" s="5" t="s">
        <v>275</v>
      </c>
      <c r="B586" s="16" t="s">
        <v>307</v>
      </c>
      <c r="C586" s="3"/>
      <c r="D586" s="9">
        <f>'RUF WORK FOR ALL'!D575</f>
        <v>374</v>
      </c>
      <c r="E586" s="14"/>
      <c r="G586" s="14"/>
    </row>
    <row r="587" spans="1:7" ht="12.75">
      <c r="A587" s="5" t="s">
        <v>275</v>
      </c>
      <c r="B587" s="16" t="s">
        <v>313</v>
      </c>
      <c r="C587" s="3"/>
      <c r="D587" s="9">
        <f>'RUF WORK FOR ALL'!D581</f>
        <v>29853</v>
      </c>
      <c r="G587" s="14"/>
    </row>
    <row r="588" spans="1:7" ht="12.75">
      <c r="A588" s="5" t="s">
        <v>275</v>
      </c>
      <c r="B588" s="16" t="s">
        <v>315</v>
      </c>
      <c r="C588" s="3"/>
      <c r="D588" s="9">
        <f>'RUF WORK FOR ALL'!D583</f>
        <v>25420</v>
      </c>
      <c r="E588" s="14"/>
      <c r="G588" s="14"/>
    </row>
    <row r="589" spans="1:7" ht="12.75">
      <c r="A589" s="5" t="s">
        <v>275</v>
      </c>
      <c r="B589" s="16" t="s">
        <v>311</v>
      </c>
      <c r="C589" s="3"/>
      <c r="D589" s="9">
        <f>'RUF WORK FOR ALL'!D579</f>
        <v>100</v>
      </c>
      <c r="E589" s="14"/>
      <c r="G589" s="14"/>
    </row>
    <row r="590" spans="1:7" ht="12.75">
      <c r="A590" s="5" t="s">
        <v>275</v>
      </c>
      <c r="B590" s="16" t="s">
        <v>314</v>
      </c>
      <c r="C590" s="3"/>
      <c r="D590" s="9">
        <f>'RUF WORK FOR ALL'!D582</f>
        <v>27972</v>
      </c>
      <c r="E590" s="14"/>
      <c r="G590" s="14"/>
    </row>
    <row r="591" spans="1:7" ht="12.75">
      <c r="A591" s="5" t="s">
        <v>275</v>
      </c>
      <c r="B591" s="16" t="s">
        <v>316</v>
      </c>
      <c r="C591" s="3"/>
      <c r="D591" s="46">
        <f>'RUF WORK FOR ALL'!D584</f>
        <v>1275</v>
      </c>
      <c r="E591" s="14">
        <f>SUM(D558:D591)</f>
        <v>792201</v>
      </c>
      <c r="G591" s="14"/>
    </row>
    <row r="592" spans="1:7" ht="12.75">
      <c r="A592" s="5" t="s">
        <v>38</v>
      </c>
      <c r="B592" s="16" t="s">
        <v>215</v>
      </c>
      <c r="C592" s="3"/>
      <c r="D592" s="46">
        <f>'RUF WORK FOR ALL'!D540</f>
        <v>21090</v>
      </c>
      <c r="E592" s="14">
        <f>D592</f>
        <v>21090</v>
      </c>
      <c r="G592" s="14">
        <f>SUM(E540:E592)</f>
        <v>4421561</v>
      </c>
    </row>
    <row r="593" spans="2:7" ht="12.75">
      <c r="B593" s="16"/>
      <c r="C593" s="3"/>
      <c r="D593" s="9"/>
      <c r="G593" s="14"/>
    </row>
    <row r="594" spans="2:7" ht="12.75">
      <c r="B594" s="16"/>
      <c r="C594" s="3"/>
      <c r="D594" s="9"/>
      <c r="G594" s="14"/>
    </row>
    <row r="595" spans="2:7" ht="12.75">
      <c r="B595" s="1" t="s">
        <v>336</v>
      </c>
      <c r="C595" s="2"/>
      <c r="D595" s="45"/>
      <c r="G595" s="14"/>
    </row>
    <row r="596" spans="2:7" ht="15">
      <c r="B596" s="10" t="s">
        <v>2</v>
      </c>
      <c r="C596" s="11"/>
      <c r="D596" s="3" t="s">
        <v>3</v>
      </c>
      <c r="G596" s="14"/>
    </row>
    <row r="597" spans="2:7" ht="12.75">
      <c r="B597" s="11"/>
      <c r="C597" s="13"/>
      <c r="D597" s="12" t="s">
        <v>4</v>
      </c>
      <c r="G597" s="14"/>
    </row>
    <row r="598" spans="1:7" ht="12.75">
      <c r="A598" s="5" t="s">
        <v>38</v>
      </c>
      <c r="B598" s="11" t="s">
        <v>209</v>
      </c>
      <c r="C598" s="13"/>
      <c r="D598" s="9">
        <f>'RUF WORK FOR ALL'!D596</f>
        <v>529</v>
      </c>
      <c r="E598" s="14"/>
      <c r="G598" s="14"/>
    </row>
    <row r="599" spans="1:7" ht="12.75">
      <c r="A599" s="5" t="s">
        <v>77</v>
      </c>
      <c r="B599" s="4" t="s">
        <v>209</v>
      </c>
      <c r="D599" s="9">
        <f>'RUF WORK FOR ALL'!D597</f>
        <v>5684</v>
      </c>
      <c r="G599" s="14"/>
    </row>
    <row r="600" spans="1:7" ht="12.75">
      <c r="A600" s="5" t="s">
        <v>275</v>
      </c>
      <c r="B600" s="4" t="s">
        <v>209</v>
      </c>
      <c r="D600" s="9">
        <f>'RUF WORK FOR ALL'!D599</f>
        <v>140</v>
      </c>
      <c r="G600" s="14"/>
    </row>
    <row r="601" spans="1:7" ht="12.75">
      <c r="A601" s="5" t="s">
        <v>41</v>
      </c>
      <c r="B601" s="16" t="s">
        <v>209</v>
      </c>
      <c r="C601" s="16"/>
      <c r="D601" s="46">
        <f>'RUF WORK FOR ALL'!D601</f>
        <v>532</v>
      </c>
      <c r="E601" s="14">
        <f>SUM(D598:D601)</f>
        <v>6885</v>
      </c>
      <c r="G601" s="14"/>
    </row>
    <row r="602" spans="1:7" ht="12.75">
      <c r="A602" s="5" t="s">
        <v>77</v>
      </c>
      <c r="B602" s="4" t="s">
        <v>394</v>
      </c>
      <c r="D602" s="9">
        <f>'RUF WORK FOR ALL'!D598</f>
        <v>114797</v>
      </c>
      <c r="E602" s="18"/>
      <c r="G602" s="14"/>
    </row>
    <row r="603" spans="1:7" ht="12.75">
      <c r="A603" s="5" t="s">
        <v>39</v>
      </c>
      <c r="B603" s="16" t="s">
        <v>394</v>
      </c>
      <c r="C603" s="16"/>
      <c r="D603" s="9">
        <f>'RUF WORK FOR ALL'!D600</f>
        <v>79282</v>
      </c>
      <c r="E603" s="16"/>
      <c r="G603" s="14"/>
    </row>
    <row r="604" spans="1:7" ht="12.75">
      <c r="A604" s="5" t="s">
        <v>41</v>
      </c>
      <c r="B604" s="16" t="s">
        <v>394</v>
      </c>
      <c r="C604" s="16"/>
      <c r="D604" s="46">
        <f>'RUF WORK FOR ALL'!D602</f>
        <v>46018</v>
      </c>
      <c r="E604" s="14">
        <f>SUM(D602:D604)</f>
        <v>240097</v>
      </c>
      <c r="G604" s="14">
        <f>SUM(E599:E604)</f>
        <v>246982</v>
      </c>
    </row>
    <row r="605" spans="2:7" ht="12.75">
      <c r="B605" s="16"/>
      <c r="C605" s="16"/>
      <c r="D605" s="18"/>
      <c r="E605" s="16"/>
      <c r="G605" s="14"/>
    </row>
    <row r="606" spans="2:7" ht="12.75">
      <c r="B606" s="16"/>
      <c r="C606" s="16"/>
      <c r="D606" s="18"/>
      <c r="E606" s="16"/>
      <c r="G606" s="14"/>
    </row>
    <row r="607" spans="2:7" ht="12.75">
      <c r="B607" s="1" t="s">
        <v>337</v>
      </c>
      <c r="C607" s="2"/>
      <c r="D607" s="3"/>
      <c r="G607" s="14"/>
    </row>
    <row r="608" spans="2:7" ht="15">
      <c r="B608" s="10" t="s">
        <v>2</v>
      </c>
      <c r="C608" s="11"/>
      <c r="D608" s="3" t="s">
        <v>3</v>
      </c>
      <c r="G608" s="14"/>
    </row>
    <row r="609" spans="2:7" ht="12.75">
      <c r="B609" s="11"/>
      <c r="C609" s="13"/>
      <c r="D609" s="12" t="s">
        <v>4</v>
      </c>
      <c r="G609" s="14"/>
    </row>
    <row r="610" spans="1:7" ht="12.75">
      <c r="A610" s="5" t="s">
        <v>77</v>
      </c>
      <c r="B610" s="4" t="s">
        <v>261</v>
      </c>
      <c r="D610" s="9">
        <f>'RUF WORK FOR ALL'!D609</f>
        <v>219200</v>
      </c>
      <c r="E610" s="14"/>
      <c r="G610" s="14"/>
    </row>
    <row r="611" spans="1:7" ht="12.75">
      <c r="A611" s="5" t="s">
        <v>275</v>
      </c>
      <c r="B611" s="4" t="s">
        <v>261</v>
      </c>
      <c r="D611" s="9">
        <f>'RUF WORK FOR ALL'!D624</f>
        <v>1550</v>
      </c>
      <c r="G611" s="14"/>
    </row>
    <row r="612" spans="1:7" ht="12.75">
      <c r="A612" s="5" t="s">
        <v>39</v>
      </c>
      <c r="B612" s="4" t="s">
        <v>261</v>
      </c>
      <c r="D612" s="9">
        <f>'RUF WORK FOR ALL'!D629</f>
        <v>88400</v>
      </c>
      <c r="G612" s="14"/>
    </row>
    <row r="613" spans="1:7" ht="12.75">
      <c r="A613" s="5" t="s">
        <v>36</v>
      </c>
      <c r="B613" s="4" t="s">
        <v>261</v>
      </c>
      <c r="D613" s="9">
        <f>'RUF WORK FOR ALL'!D636</f>
        <v>30000</v>
      </c>
      <c r="G613" s="14"/>
    </row>
    <row r="614" spans="1:7" ht="12.75">
      <c r="A614" s="5" t="s">
        <v>41</v>
      </c>
      <c r="B614" s="4" t="s">
        <v>261</v>
      </c>
      <c r="D614" s="46">
        <f>'RUF WORK FOR ALL'!D643</f>
        <v>13400</v>
      </c>
      <c r="E614" s="14">
        <f>SUM(D610:D614)</f>
        <v>352550</v>
      </c>
      <c r="G614" s="14"/>
    </row>
    <row r="615" spans="1:7" ht="12.75">
      <c r="A615" s="5" t="s">
        <v>36</v>
      </c>
      <c r="B615" s="4" t="s">
        <v>412</v>
      </c>
      <c r="D615" s="46">
        <f>'RUF WORK FOR ALL'!D637</f>
        <v>501</v>
      </c>
      <c r="E615" s="14">
        <f>D615</f>
        <v>501</v>
      </c>
      <c r="G615" s="14"/>
    </row>
    <row r="616" spans="1:7" ht="12.75">
      <c r="A616" s="5" t="s">
        <v>77</v>
      </c>
      <c r="B616" s="4" t="s">
        <v>262</v>
      </c>
      <c r="D616" s="9">
        <f>'RUF WORK FOR ALL'!D610</f>
        <v>1198941</v>
      </c>
      <c r="G616" s="14"/>
    </row>
    <row r="617" spans="1:7" ht="12.75">
      <c r="A617" s="5" t="s">
        <v>39</v>
      </c>
      <c r="B617" s="4" t="s">
        <v>262</v>
      </c>
      <c r="D617" s="9">
        <f>'RUF WORK FOR ALL'!D630</f>
        <v>461699</v>
      </c>
      <c r="G617" s="14"/>
    </row>
    <row r="618" spans="1:7" ht="12.75">
      <c r="A618" s="5" t="s">
        <v>41</v>
      </c>
      <c r="B618" s="4" t="s">
        <v>262</v>
      </c>
      <c r="D618" s="46">
        <f>'RUF WORK FOR ALL'!D644</f>
        <v>74338</v>
      </c>
      <c r="E618" s="14">
        <f>SUM(D616:D618)</f>
        <v>1734978</v>
      </c>
      <c r="G618" s="14"/>
    </row>
    <row r="619" spans="1:7" ht="12.75">
      <c r="A619" s="5" t="s">
        <v>248</v>
      </c>
      <c r="B619" s="4" t="s">
        <v>267</v>
      </c>
      <c r="D619" s="9">
        <f>'RUF WORK FOR ALL'!D622</f>
        <v>30000</v>
      </c>
      <c r="E619" s="14"/>
      <c r="G619" s="14"/>
    </row>
    <row r="620" spans="1:7" ht="12.75">
      <c r="A620" s="5" t="s">
        <v>36</v>
      </c>
      <c r="B620" s="4" t="s">
        <v>267</v>
      </c>
      <c r="D620" s="46">
        <f>'RUF WORK FOR ALL'!D638</f>
        <v>169919</v>
      </c>
      <c r="E620" s="14">
        <f>SUM(D619:D620)</f>
        <v>199919</v>
      </c>
      <c r="G620" s="14"/>
    </row>
    <row r="621" spans="1:7" ht="12.75">
      <c r="A621" s="5" t="s">
        <v>217</v>
      </c>
      <c r="B621" s="4" t="s">
        <v>243</v>
      </c>
      <c r="D621" s="46">
        <f>'RUF WORK FOR ALL'!D617</f>
        <v>1119</v>
      </c>
      <c r="E621" s="14">
        <f>D621</f>
        <v>1119</v>
      </c>
      <c r="G621" s="14"/>
    </row>
    <row r="622" spans="1:7" ht="12.75">
      <c r="A622" s="5" t="s">
        <v>77</v>
      </c>
      <c r="B622" s="4" t="s">
        <v>197</v>
      </c>
      <c r="D622" s="9">
        <f>'RUF WORK FOR ALL'!D611</f>
        <v>73439</v>
      </c>
      <c r="E622" s="14"/>
      <c r="G622" s="14"/>
    </row>
    <row r="623" spans="1:7" ht="12.75">
      <c r="A623" s="5" t="s">
        <v>275</v>
      </c>
      <c r="B623" s="4" t="s">
        <v>197</v>
      </c>
      <c r="D623" s="9">
        <f>'RUF WORK FOR ALL'!D625</f>
        <v>27834</v>
      </c>
      <c r="E623" s="14"/>
      <c r="G623" s="14"/>
    </row>
    <row r="624" spans="1:7" ht="12.75">
      <c r="A624" s="5" t="s">
        <v>39</v>
      </c>
      <c r="B624" s="4" t="s">
        <v>197</v>
      </c>
      <c r="D624" s="9">
        <f>'RUF WORK FOR ALL'!D631</f>
        <v>26957</v>
      </c>
      <c r="E624" s="14"/>
      <c r="G624" s="14"/>
    </row>
    <row r="625" spans="1:7" ht="12.75">
      <c r="A625" s="5" t="s">
        <v>36</v>
      </c>
      <c r="B625" s="4" t="s">
        <v>197</v>
      </c>
      <c r="D625" s="9">
        <f>'RUF WORK FOR ALL'!D639</f>
        <v>6075</v>
      </c>
      <c r="E625" s="14"/>
      <c r="G625" s="14"/>
    </row>
    <row r="626" spans="1:7" ht="12.75">
      <c r="A626" s="5" t="s">
        <v>41</v>
      </c>
      <c r="B626" s="4" t="s">
        <v>197</v>
      </c>
      <c r="D626" s="46">
        <f>'RUF WORK FOR ALL'!D645</f>
        <v>12765</v>
      </c>
      <c r="E626" s="14">
        <f>SUM(D622:D626)</f>
        <v>147070</v>
      </c>
      <c r="G626" s="14"/>
    </row>
    <row r="627" spans="1:7" ht="12.75">
      <c r="A627" s="5" t="s">
        <v>217</v>
      </c>
      <c r="B627" s="4" t="s">
        <v>244</v>
      </c>
      <c r="D627" s="46">
        <f>'RUF WORK FOR ALL'!D618</f>
        <v>28040</v>
      </c>
      <c r="E627" s="14">
        <f>D627</f>
        <v>28040</v>
      </c>
      <c r="G627" s="14"/>
    </row>
    <row r="628" spans="1:7" ht="12.75">
      <c r="A628" s="5" t="s">
        <v>217</v>
      </c>
      <c r="B628" s="4" t="s">
        <v>245</v>
      </c>
      <c r="D628" s="9">
        <f>'RUF WORK FOR ALL'!D619</f>
        <v>2595</v>
      </c>
      <c r="E628" s="14"/>
      <c r="G628" s="14"/>
    </row>
    <row r="629" spans="1:7" ht="12.75">
      <c r="A629" s="5" t="s">
        <v>275</v>
      </c>
      <c r="B629" s="4" t="s">
        <v>245</v>
      </c>
      <c r="D629" s="9">
        <f>'RUF WORK FOR ALL'!D626</f>
        <v>27098</v>
      </c>
      <c r="E629" s="14"/>
      <c r="G629" s="14"/>
    </row>
    <row r="630" spans="1:7" ht="12.75">
      <c r="A630" s="5" t="s">
        <v>39</v>
      </c>
      <c r="B630" s="4" t="s">
        <v>245</v>
      </c>
      <c r="D630" s="9">
        <f>'RUF WORK FOR ALL'!D632</f>
        <v>130605</v>
      </c>
      <c r="E630" s="14"/>
      <c r="G630" s="14"/>
    </row>
    <row r="631" spans="1:7" ht="12.75">
      <c r="A631" s="5" t="s">
        <v>36</v>
      </c>
      <c r="B631" s="4" t="s">
        <v>245</v>
      </c>
      <c r="D631" s="9">
        <f>'RUF WORK FOR ALL'!D640</f>
        <v>12475</v>
      </c>
      <c r="E631" s="14"/>
      <c r="G631" s="14"/>
    </row>
    <row r="632" spans="1:7" ht="12.75">
      <c r="A632" s="5" t="s">
        <v>41</v>
      </c>
      <c r="B632" s="4" t="s">
        <v>245</v>
      </c>
      <c r="D632" s="9">
        <f>'RUF WORK FOR ALL'!D646</f>
        <v>32849</v>
      </c>
      <c r="E632" s="14"/>
      <c r="G632" s="14"/>
    </row>
    <row r="633" spans="1:7" ht="12.75">
      <c r="A633" s="5" t="s">
        <v>77</v>
      </c>
      <c r="B633" s="4" t="s">
        <v>475</v>
      </c>
      <c r="D633" s="46">
        <f>'RUF WORK FOR ALL'!D612</f>
        <v>135753</v>
      </c>
      <c r="E633" s="14">
        <f>SUM(D628:D633)</f>
        <v>341375</v>
      </c>
      <c r="G633" s="14"/>
    </row>
    <row r="634" spans="1:7" ht="12.75">
      <c r="A634" s="5" t="s">
        <v>217</v>
      </c>
      <c r="B634" s="4" t="s">
        <v>246</v>
      </c>
      <c r="D634" s="9">
        <f>'RUF WORK FOR ALL'!D620</f>
        <v>327494</v>
      </c>
      <c r="E634" s="14"/>
      <c r="G634" s="14"/>
    </row>
    <row r="635" spans="1:7" ht="12.75">
      <c r="A635" s="16" t="s">
        <v>38</v>
      </c>
      <c r="B635" s="16" t="s">
        <v>73</v>
      </c>
      <c r="C635" s="18"/>
      <c r="D635" s="9">
        <f>'RUF WORK FOR ALL'!D608</f>
        <v>3000</v>
      </c>
      <c r="E635" s="14"/>
      <c r="G635" s="14"/>
    </row>
    <row r="636" spans="1:7" ht="12.75">
      <c r="A636" s="5" t="s">
        <v>77</v>
      </c>
      <c r="B636" s="4" t="s">
        <v>73</v>
      </c>
      <c r="D636" s="9">
        <f>'RUF WORK FOR ALL'!D613</f>
        <v>17596296</v>
      </c>
      <c r="E636" s="14"/>
      <c r="G636" s="14"/>
    </row>
    <row r="637" spans="1:7" ht="12.75">
      <c r="A637" s="5" t="s">
        <v>275</v>
      </c>
      <c r="B637" s="4" t="s">
        <v>73</v>
      </c>
      <c r="D637" s="9">
        <f>'RUF WORK FOR ALL'!D623</f>
        <v>3429680</v>
      </c>
      <c r="E637" s="14"/>
      <c r="G637" s="14"/>
    </row>
    <row r="638" spans="1:7" ht="12.75">
      <c r="A638" s="5" t="s">
        <v>39</v>
      </c>
      <c r="B638" s="4" t="s">
        <v>73</v>
      </c>
      <c r="D638" s="9">
        <f>'RUF WORK FOR ALL'!D628</f>
        <v>15317015</v>
      </c>
      <c r="E638" s="14"/>
      <c r="G638" s="14"/>
    </row>
    <row r="639" spans="1:7" ht="12.75">
      <c r="A639" s="5" t="s">
        <v>36</v>
      </c>
      <c r="B639" s="4" t="s">
        <v>73</v>
      </c>
      <c r="D639" s="9">
        <f>'RUF WORK FOR ALL'!D635</f>
        <v>910806</v>
      </c>
      <c r="E639" s="14"/>
      <c r="G639" s="14"/>
    </row>
    <row r="640" spans="1:7" ht="12.75">
      <c r="A640" s="5" t="s">
        <v>41</v>
      </c>
      <c r="B640" s="4" t="s">
        <v>73</v>
      </c>
      <c r="D640" s="46">
        <f>'RUF WORK FOR ALL'!D642</f>
        <v>4971506</v>
      </c>
      <c r="E640" s="14">
        <f>SUM(D634:D640)</f>
        <v>42555797</v>
      </c>
      <c r="G640" s="14"/>
    </row>
    <row r="641" spans="1:7" ht="12.75">
      <c r="A641" s="5" t="s">
        <v>275</v>
      </c>
      <c r="B641" s="4" t="s">
        <v>195</v>
      </c>
      <c r="D641" s="9">
        <f>'RUF WORK FOR ALL'!D627</f>
        <v>60526</v>
      </c>
      <c r="E641" s="14"/>
      <c r="G641" s="14"/>
    </row>
    <row r="642" spans="1:7" ht="12.75">
      <c r="A642" s="5" t="s">
        <v>39</v>
      </c>
      <c r="B642" s="4" t="s">
        <v>195</v>
      </c>
      <c r="D642" s="9">
        <f>'RUF WORK FOR ALL'!D633</f>
        <v>17384</v>
      </c>
      <c r="E642" s="14"/>
      <c r="G642" s="14"/>
    </row>
    <row r="643" spans="1:7" ht="12.75">
      <c r="A643" s="5" t="s">
        <v>41</v>
      </c>
      <c r="B643" s="4" t="s">
        <v>195</v>
      </c>
      <c r="D643" s="9">
        <f>'RUF WORK FOR ALL'!D647</f>
        <v>2150</v>
      </c>
      <c r="E643" s="14"/>
      <c r="G643" s="14"/>
    </row>
    <row r="644" spans="1:7" ht="12.75">
      <c r="A644" s="5" t="s">
        <v>77</v>
      </c>
      <c r="B644" s="4" t="s">
        <v>264</v>
      </c>
      <c r="D644" s="46">
        <f>'RUF WORK FOR ALL'!D614</f>
        <v>150295</v>
      </c>
      <c r="E644" s="14">
        <f>SUM(D641:D644)</f>
        <v>230355</v>
      </c>
      <c r="G644" s="14"/>
    </row>
    <row r="645" spans="1:7" ht="12.75">
      <c r="A645" s="5" t="s">
        <v>248</v>
      </c>
      <c r="B645" s="4" t="s">
        <v>260</v>
      </c>
      <c r="D645" s="9">
        <f>'RUF WORK FOR ALL'!D621</f>
        <v>12163</v>
      </c>
      <c r="E645" s="14"/>
      <c r="G645" s="14"/>
    </row>
    <row r="646" spans="1:7" ht="12.75">
      <c r="A646" s="5" t="s">
        <v>36</v>
      </c>
      <c r="B646" s="4" t="s">
        <v>260</v>
      </c>
      <c r="D646" s="9">
        <f>'RUF WORK FOR ALL'!D641</f>
        <v>15765</v>
      </c>
      <c r="E646" s="14"/>
      <c r="G646" s="14"/>
    </row>
    <row r="647" spans="1:7" ht="12.75">
      <c r="A647" s="5" t="s">
        <v>41</v>
      </c>
      <c r="B647" s="16" t="s">
        <v>260</v>
      </c>
      <c r="C647" s="16"/>
      <c r="D647" s="9">
        <f>'RUF WORK FOR ALL'!D648</f>
        <v>6318</v>
      </c>
      <c r="E647" s="14"/>
      <c r="G647" s="14"/>
    </row>
    <row r="648" spans="1:7" ht="12.75">
      <c r="A648" s="5" t="s">
        <v>77</v>
      </c>
      <c r="B648" s="4" t="s">
        <v>265</v>
      </c>
      <c r="D648" s="46">
        <f>'RUF WORK FOR ALL'!D615</f>
        <v>27273</v>
      </c>
      <c r="E648" s="14">
        <f>SUM(D645:D648)</f>
        <v>61519</v>
      </c>
      <c r="G648" s="14"/>
    </row>
    <row r="649" spans="1:7" ht="12.75">
      <c r="A649" s="5" t="s">
        <v>77</v>
      </c>
      <c r="B649" s="4" t="s">
        <v>266</v>
      </c>
      <c r="D649" s="9">
        <f>'RUF WORK FOR ALL'!D616</f>
        <v>6873</v>
      </c>
      <c r="E649" s="14"/>
      <c r="G649" s="14"/>
    </row>
    <row r="650" spans="1:7" ht="12.75">
      <c r="A650" s="5" t="s">
        <v>39</v>
      </c>
      <c r="B650" s="4" t="s">
        <v>266</v>
      </c>
      <c r="D650" s="46">
        <f>'RUF WORK FOR ALL'!D634</f>
        <v>32495</v>
      </c>
      <c r="E650" s="18">
        <f>SUM(D649:D650)</f>
        <v>39368</v>
      </c>
      <c r="F650" s="16"/>
      <c r="G650" s="14">
        <f>SUM(E610:E650)</f>
        <v>45692591</v>
      </c>
    </row>
    <row r="651" spans="2:7" ht="12.75">
      <c r="B651" s="16"/>
      <c r="C651" s="16"/>
      <c r="D651" s="16"/>
      <c r="E651" s="16"/>
      <c r="F651" s="16"/>
      <c r="G651" s="14"/>
    </row>
    <row r="652" spans="2:7" ht="12.75">
      <c r="B652" s="1" t="s">
        <v>338</v>
      </c>
      <c r="C652" s="2"/>
      <c r="D652" s="3"/>
      <c r="G652" s="14"/>
    </row>
    <row r="653" spans="2:7" ht="15">
      <c r="B653" s="10" t="s">
        <v>2</v>
      </c>
      <c r="C653" s="11"/>
      <c r="D653" s="3" t="s">
        <v>3</v>
      </c>
      <c r="G653" s="14"/>
    </row>
    <row r="654" spans="2:7" ht="12.75">
      <c r="B654" s="11"/>
      <c r="C654" s="13"/>
      <c r="D654" s="12" t="s">
        <v>4</v>
      </c>
      <c r="G654" s="14"/>
    </row>
    <row r="655" spans="1:7" ht="12.75">
      <c r="A655" s="16"/>
      <c r="B655" s="16"/>
      <c r="C655" s="18"/>
      <c r="D655" s="18"/>
      <c r="G655" s="14"/>
    </row>
    <row r="656" spans="1:7" ht="12.75">
      <c r="A656" s="5" t="s">
        <v>41</v>
      </c>
      <c r="B656" s="4" t="s">
        <v>447</v>
      </c>
      <c r="D656" s="46">
        <f>'RUF WORK FOR ALL'!D673</f>
        <v>1996290</v>
      </c>
      <c r="E656" s="14">
        <f>D656</f>
        <v>1996290</v>
      </c>
      <c r="G656" s="14"/>
    </row>
    <row r="657" spans="1:7" ht="12.75">
      <c r="A657" s="16" t="s">
        <v>38</v>
      </c>
      <c r="B657" s="16" t="s">
        <v>106</v>
      </c>
      <c r="C657" s="18"/>
      <c r="D657" s="9">
        <f>'RUF WORK FOR ALL'!D656</f>
        <v>220365</v>
      </c>
      <c r="E657" s="14"/>
      <c r="G657" s="14"/>
    </row>
    <row r="658" spans="1:7" ht="12.75">
      <c r="A658" s="16" t="s">
        <v>77</v>
      </c>
      <c r="B658" s="16" t="s">
        <v>106</v>
      </c>
      <c r="C658" s="16"/>
      <c r="D658" s="9">
        <f>'RUF WORK FOR ALL'!D658</f>
        <v>163599</v>
      </c>
      <c r="G658" s="14"/>
    </row>
    <row r="659" spans="1:7" ht="12.75">
      <c r="A659" s="5" t="s">
        <v>217</v>
      </c>
      <c r="B659" s="4" t="s">
        <v>106</v>
      </c>
      <c r="D659" s="9">
        <f>'RUF WORK FOR ALL'!D661</f>
        <v>19686</v>
      </c>
      <c r="E659" s="2"/>
      <c r="G659" s="14"/>
    </row>
    <row r="660" spans="1:7" ht="12.75">
      <c r="A660" s="5" t="s">
        <v>248</v>
      </c>
      <c r="B660" s="4" t="s">
        <v>106</v>
      </c>
      <c r="D660" s="9">
        <f>'RUF WORK FOR ALL'!D664</f>
        <v>14790</v>
      </c>
      <c r="E660" s="48"/>
      <c r="G660" s="14"/>
    </row>
    <row r="661" spans="1:7" ht="12.75">
      <c r="A661" s="5" t="s">
        <v>275</v>
      </c>
      <c r="B661" s="4" t="s">
        <v>106</v>
      </c>
      <c r="D661" s="9">
        <f>'RUF WORK FOR ALL'!D665</f>
        <v>13114</v>
      </c>
      <c r="E661" s="48"/>
      <c r="G661" s="14"/>
    </row>
    <row r="662" spans="1:7" ht="12.75">
      <c r="A662" s="5" t="s">
        <v>39</v>
      </c>
      <c r="B662" s="4" t="s">
        <v>106</v>
      </c>
      <c r="D662" s="9">
        <f>'RUF WORK FOR ALL'!D666</f>
        <v>254139</v>
      </c>
      <c r="E662" s="48"/>
      <c r="G662" s="14"/>
    </row>
    <row r="663" spans="1:7" ht="12.75">
      <c r="A663" s="5" t="s">
        <v>36</v>
      </c>
      <c r="B663" s="4" t="s">
        <v>106</v>
      </c>
      <c r="D663" s="9">
        <f>'RUF WORK FOR ALL'!D669</f>
        <v>76499</v>
      </c>
      <c r="E663" s="48"/>
      <c r="G663" s="14"/>
    </row>
    <row r="664" spans="1:7" ht="12.75">
      <c r="A664" s="5" t="s">
        <v>41</v>
      </c>
      <c r="B664" s="4" t="s">
        <v>106</v>
      </c>
      <c r="D664" s="46">
        <f>'RUF WORK FOR ALL'!D674</f>
        <v>608714</v>
      </c>
      <c r="E664" s="48">
        <f>SUM(D657:D664)</f>
        <v>1370906</v>
      </c>
      <c r="G664" s="14"/>
    </row>
    <row r="665" spans="1:7" ht="12.75">
      <c r="A665" s="5" t="s">
        <v>77</v>
      </c>
      <c r="B665" s="4" t="s">
        <v>107</v>
      </c>
      <c r="D665" s="9">
        <f>'RUF WORK FOR ALL'!D659</f>
        <v>233437</v>
      </c>
      <c r="E665" s="48"/>
      <c r="G665" s="14"/>
    </row>
    <row r="666" spans="1:7" ht="12.75">
      <c r="A666" s="5" t="s">
        <v>39</v>
      </c>
      <c r="B666" s="4" t="s">
        <v>107</v>
      </c>
      <c r="D666" s="9">
        <f>'RUF WORK FOR ALL'!D667</f>
        <v>597207</v>
      </c>
      <c r="E666" s="48"/>
      <c r="G666" s="14"/>
    </row>
    <row r="667" spans="1:7" ht="12.75">
      <c r="A667" s="5" t="s">
        <v>41</v>
      </c>
      <c r="B667" s="4" t="s">
        <v>107</v>
      </c>
      <c r="D667" s="46">
        <f>'RUF WORK FOR ALL'!D675</f>
        <v>532339</v>
      </c>
      <c r="E667" s="48">
        <f>SUM(D665:D667)</f>
        <v>1362983</v>
      </c>
      <c r="G667" s="14"/>
    </row>
    <row r="668" spans="1:7" ht="12.75">
      <c r="A668" s="5" t="s">
        <v>217</v>
      </c>
      <c r="B668" s="4" t="s">
        <v>413</v>
      </c>
      <c r="D668" s="9">
        <f>'RUF WORK FOR ALL'!D662</f>
        <v>5764</v>
      </c>
      <c r="E668" s="48"/>
      <c r="G668" s="14"/>
    </row>
    <row r="669" spans="1:7" ht="12.75">
      <c r="A669" s="5" t="s">
        <v>36</v>
      </c>
      <c r="B669" s="4" t="s">
        <v>413</v>
      </c>
      <c r="D669" s="46">
        <f>'RUF WORK FOR ALL'!D670</f>
        <v>11710</v>
      </c>
      <c r="E669" s="48">
        <f>SUM(D668:D669)</f>
        <v>17474</v>
      </c>
      <c r="G669" s="14"/>
    </row>
    <row r="670" spans="1:7" ht="12.75">
      <c r="A670" s="5" t="s">
        <v>36</v>
      </c>
      <c r="B670" s="4" t="s">
        <v>168</v>
      </c>
      <c r="D670" s="46">
        <f>'RUF WORK FOR ALL'!D671</f>
        <v>40</v>
      </c>
      <c r="E670" s="48">
        <f>D670</f>
        <v>40</v>
      </c>
      <c r="G670" s="14"/>
    </row>
    <row r="671" spans="1:7" ht="12.75">
      <c r="A671" s="16" t="s">
        <v>38</v>
      </c>
      <c r="B671" s="16" t="s">
        <v>216</v>
      </c>
      <c r="C671" s="18"/>
      <c r="D671" s="46">
        <f>'RUF WORK FOR ALL'!D657</f>
        <v>289800</v>
      </c>
      <c r="E671" s="48">
        <f>D671</f>
        <v>289800</v>
      </c>
      <c r="G671" s="14"/>
    </row>
    <row r="672" spans="1:7" ht="12.75">
      <c r="A672" s="5" t="s">
        <v>41</v>
      </c>
      <c r="B672" s="4" t="s">
        <v>448</v>
      </c>
      <c r="D672" s="46">
        <f>'RUF WORK FOR ALL'!D676</f>
        <v>212287</v>
      </c>
      <c r="E672" s="48">
        <f>D672</f>
        <v>212287</v>
      </c>
      <c r="G672" s="14"/>
    </row>
    <row r="673" spans="1:7" ht="12.75">
      <c r="A673" s="5" t="s">
        <v>77</v>
      </c>
      <c r="B673" s="4" t="s">
        <v>396</v>
      </c>
      <c r="D673" s="9">
        <f>'RUF WORK FOR ALL'!D660</f>
        <v>659181</v>
      </c>
      <c r="E673" s="48"/>
      <c r="G673" s="14"/>
    </row>
    <row r="674" spans="1:7" ht="12.75">
      <c r="A674" s="5" t="s">
        <v>39</v>
      </c>
      <c r="B674" s="4" t="s">
        <v>396</v>
      </c>
      <c r="D674" s="9">
        <f>'RUF WORK FOR ALL'!D668</f>
        <v>398150</v>
      </c>
      <c r="E674" s="48"/>
      <c r="G674" s="14"/>
    </row>
    <row r="675" spans="1:7" ht="12.75">
      <c r="A675" s="5" t="s">
        <v>36</v>
      </c>
      <c r="B675" s="4" t="s">
        <v>396</v>
      </c>
      <c r="D675" s="9">
        <f>'RUF WORK FOR ALL'!D672</f>
        <v>60000</v>
      </c>
      <c r="E675" s="48"/>
      <c r="G675" s="14"/>
    </row>
    <row r="676" spans="1:7" ht="12.75">
      <c r="A676" s="5" t="s">
        <v>41</v>
      </c>
      <c r="B676" s="4" t="s">
        <v>396</v>
      </c>
      <c r="D676" s="46">
        <f>'RUF WORK FOR ALL'!D677</f>
        <v>34807</v>
      </c>
      <c r="E676" s="48">
        <f>SUM(D673:D676)</f>
        <v>1152138</v>
      </c>
      <c r="G676" s="14"/>
    </row>
    <row r="677" spans="1:7" ht="12.75">
      <c r="A677" s="5" t="s">
        <v>217</v>
      </c>
      <c r="B677" s="4" t="s">
        <v>247</v>
      </c>
      <c r="D677" s="46">
        <f>'RUF WORK FOR ALL'!D663</f>
        <v>201</v>
      </c>
      <c r="E677" s="48">
        <f>D677</f>
        <v>201</v>
      </c>
      <c r="G677" s="14">
        <f>SUM(E656:E677)</f>
        <v>6402119</v>
      </c>
    </row>
    <row r="678" spans="4:7" ht="12.75">
      <c r="D678" s="9"/>
      <c r="E678" s="48"/>
      <c r="G678" s="14"/>
    </row>
    <row r="679" spans="3:7" ht="12.75">
      <c r="C679" s="2"/>
      <c r="D679" s="8"/>
      <c r="E679" s="4"/>
      <c r="G679" s="14"/>
    </row>
    <row r="680" spans="2:7" ht="12.75">
      <c r="B680" s="1" t="s">
        <v>339</v>
      </c>
      <c r="C680" s="2"/>
      <c r="D680" s="3"/>
      <c r="E680" s="4"/>
      <c r="G680" s="14"/>
    </row>
    <row r="681" spans="2:7" ht="15">
      <c r="B681" s="10" t="s">
        <v>2</v>
      </c>
      <c r="C681" s="11"/>
      <c r="D681" s="3" t="s">
        <v>3</v>
      </c>
      <c r="E681" s="4"/>
      <c r="G681" s="14"/>
    </row>
    <row r="682" spans="2:7" ht="12.75">
      <c r="B682" s="11"/>
      <c r="C682" s="13"/>
      <c r="D682" s="12" t="s">
        <v>4</v>
      </c>
      <c r="E682" s="4"/>
      <c r="G682" s="14"/>
    </row>
    <row r="683" spans="1:7" ht="12.75">
      <c r="A683" s="5" t="s">
        <v>77</v>
      </c>
      <c r="B683" s="4" t="s">
        <v>270</v>
      </c>
      <c r="D683" s="9">
        <f>'RUF WORK FOR ALL'!D683</f>
        <v>358000</v>
      </c>
      <c r="E683" s="4"/>
      <c r="G683" s="14"/>
    </row>
    <row r="684" spans="1:7" ht="12.75">
      <c r="A684" s="5" t="s">
        <v>39</v>
      </c>
      <c r="B684" s="4" t="s">
        <v>270</v>
      </c>
      <c r="D684" s="9">
        <f>'RUF WORK FOR ALL'!D692</f>
        <v>537800</v>
      </c>
      <c r="E684" s="4"/>
      <c r="G684" s="14"/>
    </row>
    <row r="685" spans="1:7" ht="12.75">
      <c r="A685" s="5" t="s">
        <v>36</v>
      </c>
      <c r="B685" s="4" t="s">
        <v>270</v>
      </c>
      <c r="D685" s="46">
        <f>'RUF WORK FOR ALL'!D701</f>
        <v>52000</v>
      </c>
      <c r="E685" s="48">
        <f>SUM(D683:D685)</f>
        <v>947800</v>
      </c>
      <c r="G685" s="14"/>
    </row>
    <row r="686" spans="1:7" ht="12.75">
      <c r="A686" s="5" t="s">
        <v>77</v>
      </c>
      <c r="B686" s="4" t="s">
        <v>271</v>
      </c>
      <c r="D686" s="9">
        <f>'RUF WORK FOR ALL'!D684</f>
        <v>48300</v>
      </c>
      <c r="E686" s="4"/>
      <c r="G686" s="14"/>
    </row>
    <row r="687" spans="1:7" ht="12.75">
      <c r="A687" s="5" t="s">
        <v>39</v>
      </c>
      <c r="B687" s="4" t="s">
        <v>271</v>
      </c>
      <c r="D687" s="46">
        <f>'RUF WORK FOR ALL'!D693</f>
        <v>342850</v>
      </c>
      <c r="E687" s="48">
        <f>SUM(D686:D687)</f>
        <v>391150</v>
      </c>
      <c r="G687" s="14"/>
    </row>
    <row r="688" spans="1:7" ht="12.75">
      <c r="A688" s="5" t="s">
        <v>39</v>
      </c>
      <c r="B688" s="4" t="s">
        <v>397</v>
      </c>
      <c r="D688" s="9">
        <f>'RUF WORK FOR ALL'!D700</f>
        <v>906000</v>
      </c>
      <c r="E688" s="4"/>
      <c r="G688" s="14"/>
    </row>
    <row r="689" spans="1:7" ht="12.75">
      <c r="A689" s="5" t="s">
        <v>41</v>
      </c>
      <c r="B689" s="4" t="s">
        <v>397</v>
      </c>
      <c r="D689" s="46">
        <f>'RUF WORK FOR ALL'!D704</f>
        <v>218300</v>
      </c>
      <c r="E689" s="48">
        <f>SUM(D688:D689)</f>
        <v>1124300</v>
      </c>
      <c r="G689" s="14"/>
    </row>
    <row r="690" spans="1:7" ht="12.75">
      <c r="A690" s="5" t="s">
        <v>39</v>
      </c>
      <c r="B690" s="4" t="s">
        <v>23</v>
      </c>
      <c r="D690" s="46">
        <f>'RUF WORK FOR ALL'!D694</f>
        <v>327100</v>
      </c>
      <c r="E690" s="48">
        <f>D690</f>
        <v>327100</v>
      </c>
      <c r="G690" s="14"/>
    </row>
    <row r="691" spans="1:7" ht="12.75">
      <c r="A691" s="5" t="s">
        <v>275</v>
      </c>
      <c r="B691" s="4" t="s">
        <v>282</v>
      </c>
      <c r="D691" s="9">
        <f>'RUF WORK FOR ALL'!D690</f>
        <v>272184</v>
      </c>
      <c r="E691" s="48"/>
      <c r="G691" s="14"/>
    </row>
    <row r="692" spans="1:7" ht="12.75">
      <c r="A692" s="5" t="s">
        <v>275</v>
      </c>
      <c r="B692" s="4" t="s">
        <v>200</v>
      </c>
      <c r="D692" s="46">
        <f>'RUF WORK FOR ALL'!D691</f>
        <v>9839220</v>
      </c>
      <c r="E692" s="48">
        <f>SUM(D691:D692)</f>
        <v>10111404</v>
      </c>
      <c r="G692" s="14"/>
    </row>
    <row r="693" spans="1:7" ht="12.75">
      <c r="A693" s="5" t="s">
        <v>248</v>
      </c>
      <c r="B693" s="4" t="s">
        <v>268</v>
      </c>
      <c r="D693" s="9">
        <f>'RUF WORK FOR ALL'!D688</f>
        <v>424900</v>
      </c>
      <c r="G693" s="14"/>
    </row>
    <row r="694" spans="1:7" ht="12.75">
      <c r="A694" s="5" t="s">
        <v>39</v>
      </c>
      <c r="B694" s="4" t="s">
        <v>268</v>
      </c>
      <c r="D694" s="46">
        <f>'RUF WORK FOR ALL'!D695</f>
        <v>1588900</v>
      </c>
      <c r="E694" s="14">
        <f>SUM(D693:D694)</f>
        <v>2013800</v>
      </c>
      <c r="G694" s="14"/>
    </row>
    <row r="695" spans="1:7" ht="12.75">
      <c r="A695" s="5" t="s">
        <v>36</v>
      </c>
      <c r="B695" s="4" t="s">
        <v>199</v>
      </c>
      <c r="D695" s="46">
        <f>'RUF WORK FOR ALL'!D702</f>
        <v>7935650</v>
      </c>
      <c r="E695" s="14">
        <f>D695</f>
        <v>7935650</v>
      </c>
      <c r="G695" s="14"/>
    </row>
    <row r="696" spans="1:7" ht="12.75">
      <c r="A696" s="5" t="s">
        <v>248</v>
      </c>
      <c r="B696" s="4" t="s">
        <v>269</v>
      </c>
      <c r="D696" s="9">
        <f>'RUF WORK FOR ALL'!D689</f>
        <v>6992492</v>
      </c>
      <c r="G696" s="14"/>
    </row>
    <row r="697" spans="1:7" ht="12.75">
      <c r="A697" s="5" t="s">
        <v>39</v>
      </c>
      <c r="B697" s="4" t="s">
        <v>269</v>
      </c>
      <c r="D697" s="46">
        <f>'RUF WORK FOR ALL'!D696</f>
        <v>5542500</v>
      </c>
      <c r="E697" s="14">
        <f>SUM(D696:D697)</f>
        <v>12534992</v>
      </c>
      <c r="G697" s="14"/>
    </row>
    <row r="698" spans="1:7" ht="12.75">
      <c r="A698" s="5" t="s">
        <v>77</v>
      </c>
      <c r="B698" s="4" t="s">
        <v>272</v>
      </c>
      <c r="D698" s="9">
        <f>'RUF WORK FOR ALL'!D685</f>
        <v>1314175</v>
      </c>
      <c r="G698" s="14"/>
    </row>
    <row r="699" spans="1:7" ht="12.75">
      <c r="A699" s="5" t="s">
        <v>39</v>
      </c>
      <c r="B699" s="4" t="s">
        <v>272</v>
      </c>
      <c r="D699" s="46">
        <f>'RUF WORK FOR ALL'!D697</f>
        <v>3515936</v>
      </c>
      <c r="E699" s="14">
        <f>SUM(D698:D699)</f>
        <v>4830111</v>
      </c>
      <c r="G699" s="14"/>
    </row>
    <row r="700" spans="1:7" ht="12.75">
      <c r="A700" s="5" t="s">
        <v>77</v>
      </c>
      <c r="B700" s="4" t="s">
        <v>273</v>
      </c>
      <c r="D700" s="9">
        <f>'RUF WORK FOR ALL'!D686</f>
        <v>210500</v>
      </c>
      <c r="E700" s="14"/>
      <c r="G700" s="14"/>
    </row>
    <row r="701" spans="1:7" ht="12.75">
      <c r="A701" s="5" t="s">
        <v>39</v>
      </c>
      <c r="B701" s="4" t="s">
        <v>273</v>
      </c>
      <c r="D701" s="46">
        <f>'RUF WORK FOR ALL'!D698</f>
        <v>313000</v>
      </c>
      <c r="E701" s="14">
        <f>SUM(D700:D701)</f>
        <v>523500</v>
      </c>
      <c r="G701" s="14"/>
    </row>
    <row r="702" spans="1:7" ht="12.75">
      <c r="A702" s="5" t="s">
        <v>77</v>
      </c>
      <c r="B702" s="4" t="s">
        <v>274</v>
      </c>
      <c r="D702" s="9">
        <f>'RUF WORK FOR ALL'!D687</f>
        <v>26012895</v>
      </c>
      <c r="E702" s="14"/>
      <c r="G702" s="14"/>
    </row>
    <row r="703" spans="1:7" ht="12.75">
      <c r="A703" s="5" t="s">
        <v>39</v>
      </c>
      <c r="B703" s="4" t="s">
        <v>274</v>
      </c>
      <c r="D703" s="9">
        <f>'RUF WORK FOR ALL'!D699</f>
        <v>16765105</v>
      </c>
      <c r="G703" s="14"/>
    </row>
    <row r="704" spans="1:7" ht="12.75">
      <c r="A704" s="5" t="s">
        <v>41</v>
      </c>
      <c r="B704" s="4" t="s">
        <v>274</v>
      </c>
      <c r="D704" s="46">
        <f>'RUF WORK FOR ALL'!D703</f>
        <v>10654500</v>
      </c>
      <c r="E704" s="14">
        <f>SUM(D702:D704)</f>
        <v>53432500</v>
      </c>
      <c r="G704" s="14">
        <f>SUM(E683:E704)</f>
        <v>94172307</v>
      </c>
    </row>
    <row r="705" spans="4:7" ht="12.75">
      <c r="D705" s="48"/>
      <c r="G705" s="14"/>
    </row>
    <row r="706" spans="4:7" ht="12.75">
      <c r="D706" s="48"/>
      <c r="G706" s="14"/>
    </row>
    <row r="707" spans="2:7" ht="12.75">
      <c r="B707" s="1" t="s">
        <v>454</v>
      </c>
      <c r="C707" s="2"/>
      <c r="D707" s="45"/>
      <c r="G707" s="14"/>
    </row>
    <row r="708" spans="2:7" ht="15">
      <c r="B708" s="10" t="s">
        <v>2</v>
      </c>
      <c r="C708" s="11"/>
      <c r="D708" s="3" t="s">
        <v>3</v>
      </c>
      <c r="G708" s="14"/>
    </row>
    <row r="709" spans="2:7" ht="12.75">
      <c r="B709" s="11"/>
      <c r="C709" s="13"/>
      <c r="D709" s="12" t="s">
        <v>4</v>
      </c>
      <c r="G709" s="14"/>
    </row>
    <row r="710" spans="1:7" ht="12.75">
      <c r="A710" s="5" t="s">
        <v>77</v>
      </c>
      <c r="B710" s="4" t="s">
        <v>455</v>
      </c>
      <c r="D710" s="9">
        <f>'RUF WORK FOR ALL'!D710</f>
        <v>94423</v>
      </c>
      <c r="G710" s="14"/>
    </row>
    <row r="711" spans="1:7" ht="12.75">
      <c r="A711" s="5" t="s">
        <v>275</v>
      </c>
      <c r="B711" s="4" t="s">
        <v>455</v>
      </c>
      <c r="D711" s="9">
        <f>'RUF WORK FOR ALL'!D711</f>
        <v>400</v>
      </c>
      <c r="G711" s="14"/>
    </row>
    <row r="712" spans="1:7" ht="12.75">
      <c r="A712" s="5" t="s">
        <v>39</v>
      </c>
      <c r="B712" s="4" t="s">
        <v>455</v>
      </c>
      <c r="D712" s="9">
        <f>'RUF WORK FOR ALL'!D712</f>
        <v>12660</v>
      </c>
      <c r="G712" s="14"/>
    </row>
    <row r="713" spans="1:7" ht="12.75">
      <c r="A713" s="5" t="s">
        <v>36</v>
      </c>
      <c r="B713" s="4" t="s">
        <v>455</v>
      </c>
      <c r="D713" s="9">
        <f>'RUF WORK FOR ALL'!D713</f>
        <v>2000</v>
      </c>
      <c r="G713" s="14"/>
    </row>
    <row r="714" spans="1:7" ht="12.75">
      <c r="A714" s="5" t="s">
        <v>41</v>
      </c>
      <c r="B714" s="4" t="s">
        <v>455</v>
      </c>
      <c r="D714" s="46">
        <f>'RUF WORK FOR ALL'!D714</f>
        <v>6800</v>
      </c>
      <c r="E714" s="14">
        <f>SUM(D710:D714)</f>
        <v>116283</v>
      </c>
      <c r="G714" s="14">
        <f>E714</f>
        <v>116283</v>
      </c>
    </row>
    <row r="715" ht="12.75">
      <c r="G715" s="14"/>
    </row>
    <row r="716" spans="2:7" ht="12.75">
      <c r="B716" s="1" t="s">
        <v>456</v>
      </c>
      <c r="C716" s="2"/>
      <c r="D716" s="45"/>
      <c r="G716" s="14"/>
    </row>
    <row r="717" spans="2:7" ht="15">
      <c r="B717" s="10" t="s">
        <v>2</v>
      </c>
      <c r="C717" s="11"/>
      <c r="D717" s="3" t="s">
        <v>3</v>
      </c>
      <c r="G717" s="14"/>
    </row>
    <row r="718" spans="2:7" ht="12.75">
      <c r="B718" s="11"/>
      <c r="C718" s="13"/>
      <c r="D718" s="12" t="s">
        <v>4</v>
      </c>
      <c r="G718" s="14"/>
    </row>
    <row r="719" spans="1:7" ht="12.75">
      <c r="A719" s="5" t="s">
        <v>77</v>
      </c>
      <c r="B719" s="4" t="s">
        <v>457</v>
      </c>
      <c r="D719" s="46">
        <f>'RUF WORK FOR ALL'!D719</f>
        <v>9600</v>
      </c>
      <c r="E719" s="14">
        <f>D719</f>
        <v>9600</v>
      </c>
      <c r="G719" s="14">
        <f>E719</f>
        <v>9600</v>
      </c>
    </row>
    <row r="720" ht="12.75">
      <c r="G720" s="14"/>
    </row>
    <row r="721" ht="12.75">
      <c r="G721" s="14"/>
    </row>
    <row r="722" spans="2:7" ht="12.75">
      <c r="B722" s="1" t="s">
        <v>458</v>
      </c>
      <c r="C722" s="2"/>
      <c r="D722" s="45"/>
      <c r="G722" s="14"/>
    </row>
    <row r="723" spans="2:7" ht="15">
      <c r="B723" s="10" t="s">
        <v>2</v>
      </c>
      <c r="C723" s="11"/>
      <c r="D723" s="3" t="s">
        <v>3</v>
      </c>
      <c r="G723" s="14"/>
    </row>
    <row r="724" spans="2:7" ht="12.75">
      <c r="B724" s="11"/>
      <c r="C724" s="13"/>
      <c r="D724" s="12" t="s">
        <v>4</v>
      </c>
      <c r="G724" s="14"/>
    </row>
    <row r="725" spans="1:7" ht="12.75">
      <c r="A725" s="5" t="s">
        <v>77</v>
      </c>
      <c r="B725" s="4" t="s">
        <v>144</v>
      </c>
      <c r="D725" s="9">
        <f>'RUF WORK FOR ALL'!D725</f>
        <v>43510</v>
      </c>
      <c r="G725" s="14"/>
    </row>
    <row r="726" spans="1:7" ht="12.75">
      <c r="A726" s="5" t="s">
        <v>39</v>
      </c>
      <c r="B726" s="4" t="s">
        <v>144</v>
      </c>
      <c r="D726" s="46">
        <f>'RUF WORK FOR ALL'!D726</f>
        <v>5000</v>
      </c>
      <c r="E726" s="14">
        <f>SUM(D725:D726)</f>
        <v>48510</v>
      </c>
      <c r="G726" s="14">
        <f>E726</f>
        <v>48510</v>
      </c>
    </row>
    <row r="727" ht="12.75">
      <c r="G727" s="14"/>
    </row>
    <row r="728" ht="12.75">
      <c r="G728" s="14"/>
    </row>
    <row r="729" spans="2:7" ht="12.75">
      <c r="B729" s="1" t="s">
        <v>477</v>
      </c>
      <c r="C729" s="2"/>
      <c r="D729" s="45"/>
      <c r="G729" s="14"/>
    </row>
    <row r="730" spans="2:7" ht="15">
      <c r="B730" s="10" t="s">
        <v>2</v>
      </c>
      <c r="C730" s="11"/>
      <c r="D730" s="3" t="s">
        <v>3</v>
      </c>
      <c r="G730" s="14"/>
    </row>
    <row r="731" spans="2:7" ht="12.75">
      <c r="B731" s="11"/>
      <c r="C731" s="13"/>
      <c r="D731" s="12" t="s">
        <v>4</v>
      </c>
      <c r="G731" s="14"/>
    </row>
    <row r="732" spans="1:7" ht="12.75">
      <c r="A732" s="5" t="s">
        <v>690</v>
      </c>
      <c r="B732" s="11" t="s">
        <v>121</v>
      </c>
      <c r="C732" s="13"/>
      <c r="D732" s="18">
        <f>'RUF WORK FOR ALL'!D732</f>
        <v>21657</v>
      </c>
      <c r="G732" s="14"/>
    </row>
    <row r="733" spans="1:7" ht="12.75">
      <c r="A733" s="5" t="s">
        <v>217</v>
      </c>
      <c r="B733" s="4" t="s">
        <v>121</v>
      </c>
      <c r="D733" s="48">
        <f>'RUF WORK FOR ALL'!D733</f>
        <v>1959662</v>
      </c>
      <c r="G733" s="14"/>
    </row>
    <row r="734" spans="1:7" ht="12.75">
      <c r="A734" s="5" t="s">
        <v>41</v>
      </c>
      <c r="B734" s="4" t="s">
        <v>464</v>
      </c>
      <c r="D734" s="48">
        <f>'RUF WORK FOR ALL'!D735</f>
        <v>28930</v>
      </c>
      <c r="G734" s="14"/>
    </row>
    <row r="735" spans="1:7" ht="12.75">
      <c r="A735" s="5" t="s">
        <v>41</v>
      </c>
      <c r="B735" s="4" t="s">
        <v>247</v>
      </c>
      <c r="D735" s="50">
        <f>'RUF WORK FOR ALL'!D734</f>
        <v>13932</v>
      </c>
      <c r="E735" s="14">
        <f>SUM(D733:D735)</f>
        <v>2002524</v>
      </c>
      <c r="G735" s="14">
        <f>E735</f>
        <v>2002524</v>
      </c>
    </row>
    <row r="736" spans="4:7" ht="12.75">
      <c r="D736" s="48"/>
      <c r="E736" s="14"/>
      <c r="G736" s="14"/>
    </row>
    <row r="737" spans="2:7" ht="12.75">
      <c r="B737" s="1"/>
      <c r="C737" s="2"/>
      <c r="D737" s="45"/>
      <c r="G737" s="14"/>
    </row>
    <row r="738" spans="2:7" ht="12.75">
      <c r="B738" s="1" t="s">
        <v>478</v>
      </c>
      <c r="C738" s="2"/>
      <c r="D738" s="45"/>
      <c r="E738" s="4"/>
      <c r="F738" s="4"/>
      <c r="G738" s="14"/>
    </row>
    <row r="739" spans="2:7" ht="15">
      <c r="B739" s="10" t="s">
        <v>2</v>
      </c>
      <c r="C739" s="11"/>
      <c r="D739" s="3" t="s">
        <v>3</v>
      </c>
      <c r="G739" s="14"/>
    </row>
    <row r="740" spans="2:7" ht="12.75">
      <c r="B740" s="11"/>
      <c r="C740" s="13"/>
      <c r="D740" s="12" t="s">
        <v>4</v>
      </c>
      <c r="G740" s="14"/>
    </row>
    <row r="741" spans="1:7" ht="12.75">
      <c r="A741" s="5" t="s">
        <v>217</v>
      </c>
      <c r="B741" s="4" t="s">
        <v>226</v>
      </c>
      <c r="D741" s="9">
        <f>'RUF WORK FOR ALL'!D740</f>
        <v>1959662</v>
      </c>
      <c r="G741" s="14"/>
    </row>
    <row r="742" spans="1:7" ht="12.75">
      <c r="A742" s="5" t="s">
        <v>41</v>
      </c>
      <c r="B742" s="4" t="s">
        <v>464</v>
      </c>
      <c r="D742" s="9">
        <f>'RUF WORK FOR ALL'!D742</f>
        <v>28930</v>
      </c>
      <c r="G742" s="14"/>
    </row>
    <row r="743" spans="1:7" ht="12.75">
      <c r="A743" s="5" t="s">
        <v>41</v>
      </c>
      <c r="B743" s="4" t="s">
        <v>247</v>
      </c>
      <c r="D743" s="46">
        <f>'RUF WORK FOR ALL'!D741</f>
        <v>13932</v>
      </c>
      <c r="E743" s="14">
        <f>SUM(D741:D743)</f>
        <v>2002524</v>
      </c>
      <c r="G743" s="14">
        <f>E743</f>
        <v>2002524</v>
      </c>
    </row>
    <row r="744" ht="12.75">
      <c r="G744" s="14"/>
    </row>
    <row r="745" spans="2:7" ht="12.75">
      <c r="B745" s="1" t="s">
        <v>476</v>
      </c>
      <c r="C745" s="2"/>
      <c r="D745" s="45"/>
      <c r="G745" s="14"/>
    </row>
    <row r="746" spans="2:7" ht="15">
      <c r="B746" s="10" t="s">
        <v>2</v>
      </c>
      <c r="C746" s="11"/>
      <c r="D746" s="3" t="s">
        <v>3</v>
      </c>
      <c r="G746" s="14"/>
    </row>
    <row r="747" spans="2:7" ht="12.75">
      <c r="B747" s="11"/>
      <c r="C747" s="13"/>
      <c r="D747" s="12" t="s">
        <v>4</v>
      </c>
      <c r="G747" s="14"/>
    </row>
    <row r="748" spans="1:7" ht="12.75">
      <c r="A748" s="5" t="s">
        <v>217</v>
      </c>
      <c r="B748" s="4" t="s">
        <v>139</v>
      </c>
      <c r="D748" s="14">
        <f>'RUF WORK FOR ALL'!D748</f>
        <v>1957262</v>
      </c>
      <c r="E748" s="14"/>
      <c r="G748" s="14"/>
    </row>
    <row r="749" spans="1:7" ht="12.75">
      <c r="A749" s="5" t="s">
        <v>41</v>
      </c>
      <c r="B749" s="4" t="s">
        <v>139</v>
      </c>
      <c r="D749" s="54">
        <f>'RUF WORK FOR ALL'!D749</f>
        <v>13932</v>
      </c>
      <c r="E749" s="14">
        <f>SUM(D748:D749)</f>
        <v>1971194</v>
      </c>
      <c r="G749" s="14">
        <f>E749</f>
        <v>1971194</v>
      </c>
    </row>
    <row r="750" ht="12.75">
      <c r="G750" s="14"/>
    </row>
    <row r="751" ht="12.75">
      <c r="G751" s="14"/>
    </row>
    <row r="752" spans="2:7" ht="12.75">
      <c r="B752" s="1" t="s">
        <v>678</v>
      </c>
      <c r="D752" s="48"/>
      <c r="G752" s="14"/>
    </row>
    <row r="753" spans="2:7" ht="15">
      <c r="B753" s="10" t="s">
        <v>2</v>
      </c>
      <c r="C753" s="11"/>
      <c r="D753" s="3" t="s">
        <v>3</v>
      </c>
      <c r="G753" s="14"/>
    </row>
    <row r="754" spans="2:7" ht="12.75">
      <c r="B754" s="11"/>
      <c r="C754" s="13"/>
      <c r="D754" s="12" t="s">
        <v>4</v>
      </c>
      <c r="G754" s="14"/>
    </row>
    <row r="755" spans="1:7" ht="12.75">
      <c r="A755" s="5" t="s">
        <v>217</v>
      </c>
      <c r="B755" s="4" t="s">
        <v>679</v>
      </c>
      <c r="D755" s="48">
        <v>3351872</v>
      </c>
      <c r="E755" s="14"/>
      <c r="G755" s="14"/>
    </row>
    <row r="756" spans="1:7" ht="12.75">
      <c r="A756" s="5" t="s">
        <v>41</v>
      </c>
      <c r="B756" s="4" t="s">
        <v>688</v>
      </c>
      <c r="D756" s="50">
        <v>85630</v>
      </c>
      <c r="E756" s="14">
        <f>SUM(D755:D756)</f>
        <v>3437502</v>
      </c>
      <c r="G756" s="14">
        <f>E756</f>
        <v>3437502</v>
      </c>
    </row>
    <row r="757" spans="4:7" ht="12.75">
      <c r="D757" s="48"/>
      <c r="G757" s="14"/>
    </row>
    <row r="758" spans="2:7" ht="12.75">
      <c r="B758" s="1" t="s">
        <v>680</v>
      </c>
      <c r="D758" s="48"/>
      <c r="G758" s="14"/>
    </row>
    <row r="759" spans="2:7" ht="15">
      <c r="B759" s="10" t="s">
        <v>2</v>
      </c>
      <c r="C759" s="11"/>
      <c r="D759" s="3" t="s">
        <v>3</v>
      </c>
      <c r="G759" s="14"/>
    </row>
    <row r="760" spans="2:7" ht="12.75">
      <c r="B760" s="11"/>
      <c r="C760" s="13"/>
      <c r="D760" s="12" t="s">
        <v>4</v>
      </c>
      <c r="G760" s="14"/>
    </row>
    <row r="761" spans="1:7" ht="12.75">
      <c r="A761" s="5" t="s">
        <v>217</v>
      </c>
      <c r="B761" s="4" t="s">
        <v>679</v>
      </c>
      <c r="D761" s="48">
        <v>4948878</v>
      </c>
      <c r="E761" s="14"/>
      <c r="G761" s="14"/>
    </row>
    <row r="762" spans="1:7" ht="12.75">
      <c r="A762" s="5" t="s">
        <v>41</v>
      </c>
      <c r="B762" s="4" t="s">
        <v>688</v>
      </c>
      <c r="D762" s="50">
        <v>56700</v>
      </c>
      <c r="E762" s="14">
        <f>SUM(D761:D762)</f>
        <v>5005578</v>
      </c>
      <c r="G762" s="14">
        <f>E762</f>
        <v>5005578</v>
      </c>
    </row>
    <row r="763" spans="4:7" ht="12.75">
      <c r="D763" s="48"/>
      <c r="G763" s="14"/>
    </row>
    <row r="764" spans="2:7" ht="12.75">
      <c r="B764" s="1" t="s">
        <v>681</v>
      </c>
      <c r="D764" s="48"/>
      <c r="G764" s="14"/>
    </row>
    <row r="765" spans="2:7" ht="15">
      <c r="B765" s="10" t="s">
        <v>2</v>
      </c>
      <c r="C765" s="11"/>
      <c r="D765" s="3" t="s">
        <v>3</v>
      </c>
      <c r="G765" s="14"/>
    </row>
    <row r="766" spans="2:7" ht="12.75">
      <c r="B766" s="11"/>
      <c r="C766" s="13"/>
      <c r="D766" s="12" t="s">
        <v>4</v>
      </c>
      <c r="G766" s="14"/>
    </row>
    <row r="767" spans="1:7" ht="12.75">
      <c r="A767" s="5" t="s">
        <v>217</v>
      </c>
      <c r="B767" s="4" t="s">
        <v>682</v>
      </c>
      <c r="D767" s="48">
        <v>166357</v>
      </c>
      <c r="E767" s="14">
        <f>D767</f>
        <v>166357</v>
      </c>
      <c r="G767" s="14"/>
    </row>
    <row r="768" ht="12.75">
      <c r="G768" s="14"/>
    </row>
    <row r="769" ht="12.75">
      <c r="G769" s="14"/>
    </row>
    <row r="770" ht="12.75">
      <c r="G770" s="14"/>
    </row>
    <row r="771" ht="12.75">
      <c r="G771" s="14"/>
    </row>
    <row r="772" ht="12.75">
      <c r="G772" s="14"/>
    </row>
    <row r="773" ht="12.75">
      <c r="G773" s="14"/>
    </row>
    <row r="774" ht="12.75">
      <c r="G774" s="14"/>
    </row>
    <row r="775" ht="12.75">
      <c r="G775" s="14"/>
    </row>
    <row r="776" ht="12.75">
      <c r="G776" s="14"/>
    </row>
    <row r="777" ht="12.75">
      <c r="G777" s="14"/>
    </row>
    <row r="778" ht="12.75">
      <c r="G778" s="14"/>
    </row>
    <row r="779" ht="12.75">
      <c r="G779" s="14"/>
    </row>
    <row r="780" ht="12.75">
      <c r="G780" s="14"/>
    </row>
    <row r="781" ht="12.75">
      <c r="G781" s="14"/>
    </row>
    <row r="782" ht="12.75">
      <c r="G782" s="14"/>
    </row>
    <row r="783" ht="12.75">
      <c r="G783" s="14"/>
    </row>
    <row r="784" ht="12.75">
      <c r="G784" s="14"/>
    </row>
    <row r="785" ht="12.75">
      <c r="G785" s="14"/>
    </row>
    <row r="786" ht="12.75">
      <c r="G786" s="14"/>
    </row>
    <row r="787" ht="12.75">
      <c r="G787" s="14"/>
    </row>
    <row r="788" ht="12.75">
      <c r="G788" s="14"/>
    </row>
    <row r="789" ht="12.75">
      <c r="G789" s="14"/>
    </row>
    <row r="790" ht="12.75">
      <c r="G790" s="14"/>
    </row>
    <row r="791" ht="12.75">
      <c r="G791" s="14"/>
    </row>
    <row r="792" ht="12.75">
      <c r="G792" s="14"/>
    </row>
    <row r="793" ht="12.75">
      <c r="G793" s="14"/>
    </row>
    <row r="794" ht="12.75">
      <c r="G794" s="14"/>
    </row>
    <row r="795" ht="12.75">
      <c r="G795" s="14"/>
    </row>
    <row r="796" ht="12.75">
      <c r="G796" s="14"/>
    </row>
    <row r="797" ht="12.75">
      <c r="G797" s="14"/>
    </row>
    <row r="798" ht="12.75">
      <c r="G798" s="14"/>
    </row>
    <row r="799" ht="12.75">
      <c r="G799" s="14"/>
    </row>
    <row r="800" ht="12.75">
      <c r="G800" s="14"/>
    </row>
    <row r="801" ht="12.75">
      <c r="G801" s="14"/>
    </row>
    <row r="802" ht="12.75">
      <c r="G802" s="14"/>
    </row>
    <row r="803" ht="12.75">
      <c r="G803" s="14"/>
    </row>
    <row r="804" ht="12.75">
      <c r="G804" s="14"/>
    </row>
    <row r="805" ht="12.75">
      <c r="G805" s="14"/>
    </row>
    <row r="806" ht="12.75">
      <c r="G806" s="14"/>
    </row>
    <row r="807" ht="12.75">
      <c r="G807" s="14"/>
    </row>
    <row r="808" ht="12.75">
      <c r="G808" s="14"/>
    </row>
    <row r="809" ht="12.75">
      <c r="G809" s="14"/>
    </row>
    <row r="810" ht="12.75">
      <c r="G810" s="14"/>
    </row>
    <row r="811" ht="12.75">
      <c r="G811" s="14"/>
    </row>
    <row r="812" ht="12.75">
      <c r="G812" s="14"/>
    </row>
    <row r="813" ht="12.75">
      <c r="G813" s="14"/>
    </row>
    <row r="814" ht="12.75">
      <c r="G814" s="14"/>
    </row>
    <row r="815" ht="12.75">
      <c r="G815" s="14"/>
    </row>
    <row r="816" ht="12.75">
      <c r="G816" s="14"/>
    </row>
    <row r="817" ht="12.75">
      <c r="G817" s="14"/>
    </row>
    <row r="818" ht="12.75">
      <c r="G818" s="14"/>
    </row>
    <row r="819" ht="12.75">
      <c r="G819" s="14"/>
    </row>
    <row r="820" ht="12.75">
      <c r="G820" s="14"/>
    </row>
    <row r="821" ht="12.75">
      <c r="G821" s="14"/>
    </row>
    <row r="822" ht="12.75">
      <c r="G822" s="14"/>
    </row>
    <row r="823" ht="12.75">
      <c r="G823" s="14"/>
    </row>
    <row r="824" ht="12.75">
      <c r="G824" s="14"/>
    </row>
    <row r="825" ht="12.75">
      <c r="G825" s="14"/>
    </row>
    <row r="826" ht="12.75">
      <c r="G826" s="14"/>
    </row>
    <row r="827" ht="12.75">
      <c r="G827" s="14"/>
    </row>
    <row r="828" ht="12.75">
      <c r="G828" s="14"/>
    </row>
    <row r="829" ht="12.75">
      <c r="G829" s="14"/>
    </row>
    <row r="830" ht="12.75">
      <c r="G830" s="14"/>
    </row>
    <row r="831" ht="12.75">
      <c r="G831" s="14"/>
    </row>
    <row r="832" ht="12.75">
      <c r="G832" s="14"/>
    </row>
    <row r="833" ht="12.75">
      <c r="G833" s="14"/>
    </row>
    <row r="834" ht="12.75">
      <c r="G834" s="14"/>
    </row>
    <row r="835" ht="12.75">
      <c r="G835" s="14"/>
    </row>
    <row r="836" ht="12.75">
      <c r="G836" s="14"/>
    </row>
    <row r="837" ht="12.75">
      <c r="G837" s="14"/>
    </row>
    <row r="838" ht="12.75">
      <c r="G838" s="14"/>
    </row>
    <row r="839" ht="12.75">
      <c r="G839" s="14"/>
    </row>
    <row r="840" ht="12.75">
      <c r="G840" s="14"/>
    </row>
    <row r="841" ht="12.75">
      <c r="G841" s="14"/>
    </row>
    <row r="842" ht="12.75">
      <c r="G842" s="14"/>
    </row>
    <row r="843" ht="12.75">
      <c r="G843" s="14"/>
    </row>
    <row r="844" ht="12.75">
      <c r="G844" s="14"/>
    </row>
    <row r="845" ht="12.75">
      <c r="G845" s="14"/>
    </row>
    <row r="846" ht="12.75">
      <c r="G846" s="14"/>
    </row>
    <row r="847" ht="12.75">
      <c r="G847" s="14"/>
    </row>
    <row r="848" ht="12.75">
      <c r="G848" s="14"/>
    </row>
    <row r="849" ht="12.75">
      <c r="G849" s="14"/>
    </row>
    <row r="850" ht="12.75">
      <c r="G850" s="14"/>
    </row>
    <row r="851" ht="12.75">
      <c r="G851" s="14"/>
    </row>
    <row r="852" ht="12.75">
      <c r="G852" s="14"/>
    </row>
    <row r="853" ht="12.75">
      <c r="G853" s="14"/>
    </row>
    <row r="854" ht="12.75">
      <c r="G854" s="14"/>
    </row>
    <row r="855" ht="12.75">
      <c r="G855" s="14"/>
    </row>
    <row r="856" ht="12.75">
      <c r="G856" s="14"/>
    </row>
    <row r="857" ht="12.75">
      <c r="G857" s="14"/>
    </row>
    <row r="858" ht="12.75">
      <c r="G858" s="14"/>
    </row>
    <row r="859" ht="12.75">
      <c r="G859" s="14"/>
    </row>
    <row r="860" ht="12.75">
      <c r="G860" s="14"/>
    </row>
    <row r="861" ht="12.75">
      <c r="G861" s="14"/>
    </row>
    <row r="862" ht="12.75">
      <c r="G862" s="14"/>
    </row>
    <row r="863" ht="12.75">
      <c r="G863" s="14"/>
    </row>
    <row r="864" ht="12.75">
      <c r="G864" s="14"/>
    </row>
    <row r="865" ht="12.75">
      <c r="G865" s="14"/>
    </row>
    <row r="866" ht="12.75">
      <c r="G866" s="14"/>
    </row>
    <row r="867" ht="12.75">
      <c r="G867" s="14"/>
    </row>
    <row r="868" ht="12.75">
      <c r="G868" s="14"/>
    </row>
    <row r="869" ht="12.75">
      <c r="G869" s="14"/>
    </row>
    <row r="870" ht="12.75">
      <c r="G870" s="14"/>
    </row>
    <row r="871" ht="12.75">
      <c r="G871" s="14"/>
    </row>
    <row r="872" ht="12.75">
      <c r="G872" s="14"/>
    </row>
    <row r="873" ht="12.75">
      <c r="G873" s="14"/>
    </row>
    <row r="874" ht="12.75">
      <c r="G874" s="14"/>
    </row>
    <row r="875" ht="12.75">
      <c r="G875" s="14"/>
    </row>
    <row r="876" ht="12.75">
      <c r="G876" s="14"/>
    </row>
    <row r="877" ht="12.75">
      <c r="G877" s="14"/>
    </row>
    <row r="878" ht="12.75">
      <c r="G878" s="14"/>
    </row>
    <row r="879" ht="12.75">
      <c r="G879" s="14"/>
    </row>
    <row r="880" ht="12.75">
      <c r="G880" s="14"/>
    </row>
    <row r="881" ht="12.75">
      <c r="G881" s="14"/>
    </row>
    <row r="882" ht="12.75">
      <c r="G882" s="14"/>
    </row>
    <row r="883" ht="12.75">
      <c r="G883" s="14"/>
    </row>
    <row r="884" ht="12.75">
      <c r="G884" s="14"/>
    </row>
    <row r="885" ht="12.75">
      <c r="G885" s="14"/>
    </row>
    <row r="886" ht="12.75">
      <c r="G886" s="14"/>
    </row>
    <row r="887" ht="12.75">
      <c r="G887" s="14"/>
    </row>
    <row r="888" ht="12.75">
      <c r="G888" s="14"/>
    </row>
    <row r="889" ht="12.75">
      <c r="G889" s="14"/>
    </row>
    <row r="890" ht="12.75">
      <c r="G890" s="14"/>
    </row>
    <row r="891" ht="12.75">
      <c r="G891" s="14"/>
    </row>
    <row r="892" ht="12.75">
      <c r="G892" s="14"/>
    </row>
    <row r="893" ht="12.75">
      <c r="G893" s="14"/>
    </row>
    <row r="894" ht="12.75">
      <c r="G894" s="14"/>
    </row>
    <row r="895" ht="12.75">
      <c r="G895" s="14"/>
    </row>
    <row r="896" ht="12.75">
      <c r="G896" s="14"/>
    </row>
    <row r="897" ht="12.75">
      <c r="G897" s="14"/>
    </row>
    <row r="898" ht="12.75">
      <c r="G898" s="14"/>
    </row>
    <row r="899" ht="12.75">
      <c r="G899" s="14"/>
    </row>
    <row r="900" ht="12.75">
      <c r="G900" s="14"/>
    </row>
    <row r="901" ht="12.75">
      <c r="G901" s="14"/>
    </row>
    <row r="902" ht="12.75">
      <c r="G902" s="14"/>
    </row>
    <row r="903" ht="12.75">
      <c r="G903" s="14"/>
    </row>
    <row r="904" ht="12.75">
      <c r="G904" s="14"/>
    </row>
    <row r="905" ht="12.75">
      <c r="G905" s="14"/>
    </row>
    <row r="906" ht="12.75">
      <c r="G906" s="14"/>
    </row>
    <row r="907" ht="12.75">
      <c r="G907" s="14"/>
    </row>
    <row r="908" ht="12.75">
      <c r="G908" s="14"/>
    </row>
    <row r="909" ht="12.75">
      <c r="G909" s="14"/>
    </row>
    <row r="910" ht="12.75">
      <c r="G910" s="14"/>
    </row>
    <row r="911" ht="12.75">
      <c r="G911" s="14"/>
    </row>
    <row r="912" ht="12.75">
      <c r="G912" s="14"/>
    </row>
    <row r="913" ht="12.75">
      <c r="G913" s="14"/>
    </row>
    <row r="914" ht="12.75">
      <c r="G914" s="14"/>
    </row>
    <row r="915" ht="12.75">
      <c r="G915" s="14"/>
    </row>
    <row r="916" ht="12.75">
      <c r="G916" s="14"/>
    </row>
    <row r="917" ht="12.75">
      <c r="G917" s="14"/>
    </row>
    <row r="918" ht="12.75">
      <c r="G918" s="14"/>
    </row>
    <row r="919" ht="12.75">
      <c r="G919" s="14"/>
    </row>
    <row r="920" ht="12.75">
      <c r="G920" s="14"/>
    </row>
    <row r="921" ht="12.75">
      <c r="G921" s="14"/>
    </row>
    <row r="922" ht="12.75">
      <c r="G922" s="14"/>
    </row>
    <row r="923" ht="12.75">
      <c r="G923" s="14"/>
    </row>
    <row r="924" ht="12.75">
      <c r="G924" s="14"/>
    </row>
    <row r="925" ht="12.75">
      <c r="G925" s="14"/>
    </row>
    <row r="926" ht="12.75">
      <c r="G926" s="14"/>
    </row>
    <row r="927" ht="12.75">
      <c r="G927" s="14"/>
    </row>
    <row r="928" ht="12.75">
      <c r="G928" s="14"/>
    </row>
    <row r="929" ht="12.75">
      <c r="G929" s="14"/>
    </row>
    <row r="930" ht="12.75">
      <c r="G930" s="14"/>
    </row>
    <row r="931" ht="12.75">
      <c r="G931" s="14"/>
    </row>
    <row r="932" ht="12.75">
      <c r="G932" s="14"/>
    </row>
    <row r="933" ht="12.75">
      <c r="G933" s="14"/>
    </row>
    <row r="934" ht="12.75">
      <c r="G934" s="14"/>
    </row>
    <row r="935" ht="12.75">
      <c r="G935" s="14"/>
    </row>
    <row r="936" ht="12.75">
      <c r="G936" s="14"/>
    </row>
    <row r="937" ht="12.75">
      <c r="G937" s="14"/>
    </row>
    <row r="938" ht="12.75">
      <c r="G938" s="14"/>
    </row>
    <row r="939" ht="12.75">
      <c r="G939" s="14"/>
    </row>
    <row r="940" ht="12.75">
      <c r="G940" s="14"/>
    </row>
    <row r="941" ht="12.75">
      <c r="G941" s="14"/>
    </row>
    <row r="942" ht="12.75">
      <c r="G942" s="14"/>
    </row>
    <row r="943" ht="12.75">
      <c r="G943" s="14"/>
    </row>
    <row r="944" ht="12.75">
      <c r="G944" s="14"/>
    </row>
    <row r="945" ht="12.75">
      <c r="G945" s="14"/>
    </row>
    <row r="946" ht="12.75">
      <c r="G946" s="14"/>
    </row>
    <row r="947" ht="12.75">
      <c r="G947" s="14"/>
    </row>
    <row r="948" ht="12.75">
      <c r="G948" s="14"/>
    </row>
    <row r="949" ht="12.75">
      <c r="G949" s="14"/>
    </row>
    <row r="950" ht="12.75">
      <c r="G950" s="14"/>
    </row>
    <row r="951" ht="12.75">
      <c r="G951" s="14"/>
    </row>
    <row r="952" ht="12.75">
      <c r="G952" s="14"/>
    </row>
    <row r="953" ht="12.75">
      <c r="G953" s="14"/>
    </row>
    <row r="954" ht="12.75">
      <c r="G954" s="14"/>
    </row>
    <row r="955" ht="12.75">
      <c r="G955" s="14"/>
    </row>
    <row r="956" ht="12.75">
      <c r="G956" s="14"/>
    </row>
    <row r="957" ht="12.75">
      <c r="G957" s="14"/>
    </row>
    <row r="958" ht="12.75">
      <c r="G958" s="14"/>
    </row>
    <row r="959" ht="12.75">
      <c r="G959" s="14"/>
    </row>
    <row r="960" ht="12.75">
      <c r="G960" s="14"/>
    </row>
    <row r="961" ht="12.75">
      <c r="G961" s="14"/>
    </row>
    <row r="962" ht="12.75">
      <c r="G962" s="14"/>
    </row>
    <row r="963" ht="12.75">
      <c r="G963" s="14"/>
    </row>
    <row r="964" ht="12.75">
      <c r="G964" s="14"/>
    </row>
    <row r="965" ht="12.75">
      <c r="G965" s="14"/>
    </row>
    <row r="966" ht="12.75">
      <c r="G966" s="14"/>
    </row>
    <row r="967" ht="12.75">
      <c r="G967" s="14"/>
    </row>
    <row r="968" ht="12.75">
      <c r="G968" s="14"/>
    </row>
    <row r="969" ht="12.75">
      <c r="G969" s="14"/>
    </row>
    <row r="970" ht="12.75">
      <c r="G970" s="14"/>
    </row>
    <row r="971" ht="12.75">
      <c r="G971" s="14"/>
    </row>
    <row r="972" ht="12.75">
      <c r="G972" s="14"/>
    </row>
    <row r="973" ht="12.75">
      <c r="G973" s="14"/>
    </row>
    <row r="974" ht="12.75">
      <c r="G974" s="14"/>
    </row>
    <row r="975" ht="12.75">
      <c r="G975" s="14"/>
    </row>
    <row r="976" ht="12.75">
      <c r="G976" s="14"/>
    </row>
    <row r="977" ht="12.75">
      <c r="G977" s="14"/>
    </row>
    <row r="978" ht="12.75">
      <c r="G978" s="14"/>
    </row>
    <row r="979" ht="12.75">
      <c r="G979" s="14"/>
    </row>
    <row r="980" ht="12.75">
      <c r="G980" s="14"/>
    </row>
    <row r="981" ht="12.75">
      <c r="G981" s="14"/>
    </row>
    <row r="982" ht="12.75">
      <c r="G982" s="14"/>
    </row>
    <row r="983" ht="12.75">
      <c r="G983" s="14"/>
    </row>
    <row r="984" ht="12.75">
      <c r="G984" s="14"/>
    </row>
    <row r="985" ht="12.75">
      <c r="G985" s="14"/>
    </row>
    <row r="986" ht="12.75">
      <c r="G986" s="14"/>
    </row>
    <row r="987" ht="12.75">
      <c r="G987" s="14"/>
    </row>
    <row r="988" ht="12.75">
      <c r="G988" s="14"/>
    </row>
    <row r="989" ht="12.75">
      <c r="G989" s="14"/>
    </row>
    <row r="990" ht="12.75">
      <c r="G990" s="14"/>
    </row>
    <row r="991" ht="12.75">
      <c r="G991" s="14"/>
    </row>
    <row r="992" ht="12.75">
      <c r="G992" s="14"/>
    </row>
    <row r="993" ht="12.75">
      <c r="G993" s="14"/>
    </row>
    <row r="994" ht="12.75">
      <c r="G994" s="14"/>
    </row>
    <row r="995" ht="12.75">
      <c r="G995" s="14"/>
    </row>
    <row r="996" ht="12.75">
      <c r="G996" s="14"/>
    </row>
    <row r="997" ht="12.75">
      <c r="G997" s="14"/>
    </row>
    <row r="998" ht="12.75">
      <c r="G998" s="14"/>
    </row>
    <row r="999" ht="12.75">
      <c r="G999" s="14"/>
    </row>
    <row r="1000" ht="12.75">
      <c r="G1000" s="14"/>
    </row>
    <row r="1001" ht="12.75">
      <c r="G1001" s="14"/>
    </row>
    <row r="1002" ht="12.75">
      <c r="G1002" s="14"/>
    </row>
    <row r="1003" ht="12.75">
      <c r="G1003" s="14"/>
    </row>
    <row r="1004" ht="12.75">
      <c r="G1004" s="14"/>
    </row>
    <row r="1005" ht="12.75">
      <c r="G1005" s="14"/>
    </row>
    <row r="1006" ht="12.75">
      <c r="G1006" s="14"/>
    </row>
    <row r="1007" ht="12.75">
      <c r="G1007" s="14"/>
    </row>
    <row r="1008" ht="12.75">
      <c r="G1008" s="14"/>
    </row>
    <row r="1009" ht="12.75">
      <c r="G1009" s="14"/>
    </row>
    <row r="1010" ht="12.75">
      <c r="G1010" s="14"/>
    </row>
    <row r="1011" ht="12.75">
      <c r="G1011" s="14"/>
    </row>
    <row r="1012" ht="12.75">
      <c r="G1012" s="14"/>
    </row>
    <row r="1013" ht="12.75">
      <c r="G1013" s="14"/>
    </row>
    <row r="1014" ht="12.75">
      <c r="G1014" s="14"/>
    </row>
    <row r="1015" ht="12.75">
      <c r="G1015" s="14"/>
    </row>
    <row r="1016" ht="12.75">
      <c r="G1016" s="14"/>
    </row>
    <row r="1017" ht="12.75">
      <c r="G1017" s="14"/>
    </row>
    <row r="1018" ht="12.75">
      <c r="G1018" s="14"/>
    </row>
    <row r="1019" ht="12.75">
      <c r="G1019" s="14"/>
    </row>
    <row r="1020" ht="12.75">
      <c r="G1020" s="14"/>
    </row>
    <row r="1021" ht="12.75">
      <c r="G1021" s="14"/>
    </row>
    <row r="1022" ht="12.75">
      <c r="G1022" s="14"/>
    </row>
    <row r="1023" ht="12.75">
      <c r="G1023" s="14"/>
    </row>
    <row r="1024" ht="12.75">
      <c r="G1024" s="14"/>
    </row>
    <row r="1025" ht="12.75">
      <c r="G1025" s="14"/>
    </row>
    <row r="1026" ht="12.75">
      <c r="G1026" s="14"/>
    </row>
    <row r="1027" ht="12.75">
      <c r="G1027" s="14"/>
    </row>
    <row r="1028" ht="12.75">
      <c r="G1028" s="14"/>
    </row>
    <row r="1029" ht="12.75">
      <c r="G1029" s="14"/>
    </row>
    <row r="1030" ht="12.75">
      <c r="G1030" s="14"/>
    </row>
    <row r="1031" ht="12.75">
      <c r="G1031" s="14"/>
    </row>
    <row r="1032" ht="12.75">
      <c r="G1032" s="14"/>
    </row>
    <row r="1033" ht="12.75">
      <c r="G1033" s="14"/>
    </row>
    <row r="1034" ht="12.75">
      <c r="G1034" s="14"/>
    </row>
    <row r="1035" ht="12.75">
      <c r="G1035" s="14"/>
    </row>
    <row r="1036" ht="12.75">
      <c r="G1036" s="14"/>
    </row>
    <row r="1037" ht="12.75">
      <c r="G1037" s="14"/>
    </row>
    <row r="1038" ht="12.75">
      <c r="G1038" s="14"/>
    </row>
    <row r="1039" ht="12.75">
      <c r="G1039" s="14"/>
    </row>
    <row r="1040" ht="12.75">
      <c r="G1040" s="14"/>
    </row>
    <row r="1041" ht="12.75">
      <c r="G1041" s="14"/>
    </row>
    <row r="1042" ht="12.75">
      <c r="G1042" s="14"/>
    </row>
    <row r="1043" ht="12.75">
      <c r="G1043" s="14"/>
    </row>
    <row r="1044" ht="12.75">
      <c r="G1044" s="14"/>
    </row>
    <row r="1045" ht="12.75">
      <c r="G1045" s="14"/>
    </row>
    <row r="1046" ht="12.75">
      <c r="G1046" s="14"/>
    </row>
    <row r="1047" ht="12.75">
      <c r="G1047" s="14"/>
    </row>
    <row r="1048" ht="12.75">
      <c r="G1048" s="14"/>
    </row>
    <row r="1049" ht="12.75">
      <c r="G1049" s="14"/>
    </row>
    <row r="1050" ht="12.75">
      <c r="G1050" s="14"/>
    </row>
    <row r="1051" ht="12.75">
      <c r="G1051" s="14"/>
    </row>
    <row r="1052" ht="12.75">
      <c r="G1052" s="14"/>
    </row>
    <row r="1053" ht="12.75">
      <c r="G1053" s="14"/>
    </row>
    <row r="1054" ht="12.75">
      <c r="G1054" s="14"/>
    </row>
    <row r="1055" ht="12.75">
      <c r="G1055" s="14"/>
    </row>
    <row r="1056" ht="12.75">
      <c r="G1056" s="14"/>
    </row>
    <row r="1057" ht="12.75">
      <c r="G1057" s="14"/>
    </row>
    <row r="1058" ht="12.75">
      <c r="G1058" s="14"/>
    </row>
    <row r="1059" ht="12.75">
      <c r="G1059" s="14"/>
    </row>
    <row r="1060" ht="12.75">
      <c r="G1060" s="14"/>
    </row>
    <row r="1061" ht="12.75">
      <c r="G1061" s="14"/>
    </row>
    <row r="1062" ht="12.75">
      <c r="G1062" s="14"/>
    </row>
    <row r="1063" ht="12.75">
      <c r="G1063" s="14"/>
    </row>
    <row r="1064" ht="12.75">
      <c r="G1064" s="14"/>
    </row>
    <row r="1065" ht="12.75">
      <c r="G1065" s="14"/>
    </row>
    <row r="1066" ht="12.75">
      <c r="G1066" s="14"/>
    </row>
    <row r="1067" ht="12.75">
      <c r="G1067" s="14"/>
    </row>
    <row r="1068" ht="12.75">
      <c r="G1068" s="14"/>
    </row>
    <row r="1069" ht="12.75">
      <c r="G1069" s="14"/>
    </row>
    <row r="1070" ht="12.75">
      <c r="G1070" s="14"/>
    </row>
    <row r="1071" ht="12.75">
      <c r="G1071" s="14"/>
    </row>
    <row r="1072" ht="12.75">
      <c r="G1072" s="14"/>
    </row>
    <row r="1073" ht="12.75">
      <c r="G1073" s="14"/>
    </row>
    <row r="1074" ht="12.75">
      <c r="G1074" s="14"/>
    </row>
    <row r="1075" ht="12.75">
      <c r="G1075" s="14"/>
    </row>
    <row r="1076" ht="12.75">
      <c r="G1076" s="14"/>
    </row>
    <row r="1077" ht="12.75">
      <c r="G1077" s="14"/>
    </row>
    <row r="1078" ht="12.75">
      <c r="G1078" s="14"/>
    </row>
    <row r="1079" ht="12.75">
      <c r="G1079" s="14"/>
    </row>
    <row r="1080" ht="12.75">
      <c r="G1080" s="14"/>
    </row>
    <row r="1081" ht="12.75">
      <c r="G1081" s="14"/>
    </row>
    <row r="1082" ht="12.75">
      <c r="G1082" s="14"/>
    </row>
    <row r="1083" ht="12.75">
      <c r="G1083" s="14"/>
    </row>
    <row r="1084" ht="12.75">
      <c r="G1084" s="14"/>
    </row>
    <row r="1085" ht="12.75">
      <c r="G1085" s="14"/>
    </row>
    <row r="1086" ht="12.75">
      <c r="G1086" s="14"/>
    </row>
    <row r="1087" ht="12.75">
      <c r="G1087" s="14"/>
    </row>
    <row r="1088" ht="12.75">
      <c r="G1088" s="14"/>
    </row>
    <row r="1089" ht="12.75">
      <c r="G1089" s="14"/>
    </row>
    <row r="1090" ht="12.75">
      <c r="G1090" s="14"/>
    </row>
    <row r="1091" ht="12.75">
      <c r="G1091" s="14"/>
    </row>
    <row r="1092" ht="12.75">
      <c r="G1092" s="14"/>
    </row>
    <row r="1093" ht="12.75">
      <c r="G1093" s="14"/>
    </row>
    <row r="1094" ht="12.75">
      <c r="G1094" s="14"/>
    </row>
    <row r="1095" ht="12.75">
      <c r="G1095" s="14"/>
    </row>
    <row r="1096" ht="12.75">
      <c r="G1096" s="14"/>
    </row>
    <row r="1097" ht="12.75">
      <c r="G1097" s="14"/>
    </row>
    <row r="1098" ht="12.75">
      <c r="G1098" s="14"/>
    </row>
    <row r="1099" ht="12.75">
      <c r="G1099" s="14"/>
    </row>
    <row r="1100" ht="12.75">
      <c r="G1100" s="14"/>
    </row>
    <row r="1101" ht="12.75">
      <c r="G1101" s="14"/>
    </row>
    <row r="1102" ht="12.75">
      <c r="G1102" s="14"/>
    </row>
    <row r="1103" ht="12.75">
      <c r="G1103" s="14"/>
    </row>
    <row r="1104" ht="12.75">
      <c r="G1104" s="14"/>
    </row>
    <row r="1105" ht="12.75">
      <c r="G1105" s="14"/>
    </row>
    <row r="1106" ht="12.75">
      <c r="G1106" s="14"/>
    </row>
    <row r="1107" ht="12.75">
      <c r="G1107" s="14"/>
    </row>
    <row r="1108" ht="12.75">
      <c r="G1108" s="14"/>
    </row>
    <row r="1109" ht="12.75">
      <c r="G1109" s="14"/>
    </row>
    <row r="1110" ht="12.75">
      <c r="G1110" s="14"/>
    </row>
    <row r="1111" ht="12.75">
      <c r="G1111" s="14"/>
    </row>
    <row r="1112" ht="12.75">
      <c r="G1112" s="14"/>
    </row>
    <row r="1113" ht="12.75">
      <c r="G1113" s="14"/>
    </row>
    <row r="1114" ht="12.75">
      <c r="G1114" s="14"/>
    </row>
    <row r="1115" ht="12.75">
      <c r="G1115" s="14"/>
    </row>
    <row r="1116" ht="12.75">
      <c r="G1116" s="14"/>
    </row>
    <row r="1117" ht="12.75">
      <c r="G1117" s="14"/>
    </row>
    <row r="1118" ht="12.75">
      <c r="G1118" s="14"/>
    </row>
    <row r="1119" ht="12.75">
      <c r="G1119" s="14"/>
    </row>
    <row r="1120" ht="12.75">
      <c r="G1120" s="14"/>
    </row>
    <row r="1121" ht="12.75">
      <c r="G1121" s="14"/>
    </row>
    <row r="1122" ht="12.75">
      <c r="G1122" s="14"/>
    </row>
    <row r="1123" ht="12.75">
      <c r="G1123" s="14"/>
    </row>
    <row r="1124" ht="12.75">
      <c r="G1124" s="14"/>
    </row>
    <row r="1125" ht="12.75">
      <c r="G1125" s="14"/>
    </row>
    <row r="1126" ht="12.75">
      <c r="G1126" s="14"/>
    </row>
    <row r="1127" ht="12.75">
      <c r="G1127" s="14"/>
    </row>
    <row r="1128" ht="12.75">
      <c r="G1128" s="14"/>
    </row>
    <row r="1129" ht="12.75">
      <c r="G1129" s="14"/>
    </row>
    <row r="1130" ht="12.75">
      <c r="G1130" s="14"/>
    </row>
    <row r="1131" ht="12.75">
      <c r="G1131" s="14"/>
    </row>
    <row r="1132" ht="12.75">
      <c r="G1132" s="14"/>
    </row>
    <row r="1133" ht="12.75">
      <c r="G1133" s="14"/>
    </row>
    <row r="1134" ht="12.75">
      <c r="G1134" s="14"/>
    </row>
    <row r="1135" ht="12.75">
      <c r="G1135" s="14"/>
    </row>
    <row r="1136" ht="12.75">
      <c r="G1136" s="14"/>
    </row>
    <row r="1137" ht="12.75">
      <c r="G1137" s="14"/>
    </row>
    <row r="1138" ht="12.75">
      <c r="G1138" s="14"/>
    </row>
    <row r="1139" ht="12.75">
      <c r="G1139" s="14"/>
    </row>
    <row r="1140" ht="12.75">
      <c r="G1140" s="14"/>
    </row>
    <row r="1141" ht="12.75">
      <c r="G1141" s="14"/>
    </row>
    <row r="1142" ht="12.75">
      <c r="G1142" s="14"/>
    </row>
    <row r="1143" ht="12.75">
      <c r="G1143" s="14"/>
    </row>
    <row r="1144" ht="12.75">
      <c r="G1144" s="14"/>
    </row>
    <row r="1145" ht="12.75">
      <c r="G1145" s="14"/>
    </row>
    <row r="1146" ht="12.75">
      <c r="G1146" s="14"/>
    </row>
    <row r="1147" ht="12.75">
      <c r="G1147" s="14"/>
    </row>
    <row r="1148" ht="12.75">
      <c r="G1148" s="14"/>
    </row>
    <row r="1149" ht="12.75">
      <c r="G1149" s="14"/>
    </row>
    <row r="1150" ht="12.75">
      <c r="G1150" s="14"/>
    </row>
    <row r="1151" ht="12.75">
      <c r="G1151" s="14"/>
    </row>
    <row r="1152" ht="12.75">
      <c r="G1152" s="14"/>
    </row>
    <row r="1153" ht="12.75">
      <c r="G1153" s="14"/>
    </row>
    <row r="1154" ht="12.75">
      <c r="G1154" s="14"/>
    </row>
    <row r="1155" ht="12.75">
      <c r="G1155" s="14"/>
    </row>
    <row r="1156" ht="12.75">
      <c r="G1156" s="14"/>
    </row>
    <row r="1157" ht="12.75">
      <c r="G1157" s="14"/>
    </row>
    <row r="1158" ht="12.75">
      <c r="G1158" s="14"/>
    </row>
    <row r="1159" ht="12.75">
      <c r="G1159" s="14"/>
    </row>
    <row r="1160" ht="12.75">
      <c r="G1160" s="14"/>
    </row>
    <row r="1161" ht="12.75">
      <c r="G1161" s="14"/>
    </row>
    <row r="1162" ht="12.75">
      <c r="G1162" s="14"/>
    </row>
    <row r="1163" ht="12.75">
      <c r="G1163" s="14"/>
    </row>
    <row r="1164" ht="12.75">
      <c r="G1164" s="14"/>
    </row>
    <row r="1165" ht="12.75">
      <c r="G1165" s="14"/>
    </row>
    <row r="1166" ht="12.75">
      <c r="G1166" s="14"/>
    </row>
    <row r="1167" ht="12.75">
      <c r="G1167" s="14"/>
    </row>
    <row r="1168" ht="12.75">
      <c r="G1168" s="14"/>
    </row>
    <row r="1169" ht="12.75">
      <c r="G1169" s="14"/>
    </row>
    <row r="1170" ht="12.75">
      <c r="G1170" s="14"/>
    </row>
    <row r="1171" ht="12.75">
      <c r="G1171" s="14"/>
    </row>
    <row r="1172" ht="12.75">
      <c r="G1172" s="14"/>
    </row>
    <row r="1173" ht="12.75">
      <c r="G1173" s="14"/>
    </row>
    <row r="1174" ht="12.75">
      <c r="G1174" s="14"/>
    </row>
    <row r="1175" ht="12.75">
      <c r="G1175" s="14"/>
    </row>
    <row r="1176" ht="12.75">
      <c r="G1176" s="14"/>
    </row>
    <row r="1177" ht="12.75">
      <c r="G1177" s="14"/>
    </row>
    <row r="1178" ht="12.75">
      <c r="G1178" s="14"/>
    </row>
    <row r="1179" ht="12.75">
      <c r="G1179" s="14"/>
    </row>
    <row r="1180" ht="12.75">
      <c r="G1180" s="14"/>
    </row>
    <row r="1181" ht="12.75">
      <c r="G1181" s="14"/>
    </row>
    <row r="1182" ht="12.75">
      <c r="G1182" s="14"/>
    </row>
    <row r="1183" ht="12.75">
      <c r="G1183" s="14"/>
    </row>
    <row r="1184" ht="12.75">
      <c r="G1184" s="14"/>
    </row>
    <row r="1185" ht="12.75">
      <c r="G1185" s="14"/>
    </row>
    <row r="1186" ht="12.75">
      <c r="G1186" s="14"/>
    </row>
    <row r="1187" ht="12.75">
      <c r="G1187" s="14"/>
    </row>
    <row r="1188" ht="12.75">
      <c r="G1188" s="14"/>
    </row>
    <row r="1189" ht="12.75">
      <c r="G1189" s="14"/>
    </row>
    <row r="1190" ht="12.75">
      <c r="G1190" s="14"/>
    </row>
    <row r="1191" ht="12.75">
      <c r="G1191" s="14"/>
    </row>
    <row r="1192" ht="12.75">
      <c r="G1192" s="14"/>
    </row>
    <row r="1193" ht="12.75">
      <c r="G1193" s="14"/>
    </row>
    <row r="1194" ht="12.75">
      <c r="G1194" s="14"/>
    </row>
    <row r="1195" ht="12.75">
      <c r="G1195" s="14"/>
    </row>
    <row r="1196" ht="12.75">
      <c r="G1196" s="14"/>
    </row>
    <row r="1197" ht="12.75">
      <c r="G1197" s="14"/>
    </row>
    <row r="1198" ht="12.75">
      <c r="G1198" s="14"/>
    </row>
    <row r="1199" ht="12.75">
      <c r="G1199" s="14"/>
    </row>
    <row r="1200" ht="12.75">
      <c r="G1200" s="14"/>
    </row>
    <row r="1201" ht="12.75">
      <c r="G1201" s="14"/>
    </row>
    <row r="1202" ht="12.75">
      <c r="G1202" s="14"/>
    </row>
    <row r="1203" ht="12.75">
      <c r="G1203" s="14"/>
    </row>
    <row r="1204" ht="12.75">
      <c r="G1204" s="14"/>
    </row>
    <row r="1205" ht="12.75">
      <c r="G1205" s="14"/>
    </row>
    <row r="1206" ht="12.75">
      <c r="G1206" s="14"/>
    </row>
    <row r="1207" ht="12.75">
      <c r="G1207" s="14"/>
    </row>
    <row r="1208" ht="12.75">
      <c r="G1208" s="14"/>
    </row>
    <row r="1209" ht="12.75">
      <c r="G1209" s="14"/>
    </row>
    <row r="1210" ht="12.75">
      <c r="G1210" s="14"/>
    </row>
    <row r="1211" ht="12.75">
      <c r="G1211" s="14"/>
    </row>
    <row r="1212" ht="12.75">
      <c r="G1212" s="14"/>
    </row>
    <row r="1213" ht="12.75">
      <c r="G1213" s="14"/>
    </row>
    <row r="1214" ht="12.75">
      <c r="G1214" s="14"/>
    </row>
    <row r="1215" ht="12.75">
      <c r="G1215" s="14"/>
    </row>
    <row r="1216" ht="12.75">
      <c r="G1216" s="14"/>
    </row>
    <row r="1217" ht="12.75">
      <c r="G1217" s="14"/>
    </row>
    <row r="1218" ht="12.75">
      <c r="G1218" s="14"/>
    </row>
    <row r="1219" ht="12.75">
      <c r="G1219" s="14"/>
    </row>
    <row r="1220" ht="12.75">
      <c r="G1220" s="14"/>
    </row>
    <row r="1221" ht="12.75">
      <c r="G1221" s="14"/>
    </row>
    <row r="1222" ht="12.75">
      <c r="G1222" s="14"/>
    </row>
    <row r="1223" ht="12.75">
      <c r="G1223" s="14"/>
    </row>
    <row r="1224" ht="12.75">
      <c r="G1224" s="14"/>
    </row>
    <row r="1225" ht="12.75">
      <c r="G1225" s="14"/>
    </row>
    <row r="1226" ht="12.75">
      <c r="G1226" s="14"/>
    </row>
    <row r="1227" ht="12.75">
      <c r="G1227" s="14"/>
    </row>
    <row r="1228" ht="12.75">
      <c r="G1228" s="14"/>
    </row>
    <row r="1229" ht="12.75">
      <c r="G1229" s="14"/>
    </row>
    <row r="1230" ht="12.75">
      <c r="G1230" s="14"/>
    </row>
    <row r="1231" ht="12.75">
      <c r="G1231" s="14"/>
    </row>
    <row r="1232" ht="12.75">
      <c r="G1232" s="14"/>
    </row>
    <row r="1233" ht="12.75">
      <c r="G1233" s="14"/>
    </row>
    <row r="1234" ht="12.75">
      <c r="G1234" s="14"/>
    </row>
    <row r="1235" ht="12.75">
      <c r="G1235" s="14"/>
    </row>
    <row r="1236" ht="12.75">
      <c r="G1236" s="14"/>
    </row>
    <row r="1237" ht="12.75">
      <c r="G1237" s="14"/>
    </row>
    <row r="1238" ht="12.75">
      <c r="G1238" s="14"/>
    </row>
    <row r="1239" ht="12.75">
      <c r="G1239" s="14"/>
    </row>
    <row r="1240" ht="12.75">
      <c r="G1240" s="14"/>
    </row>
    <row r="1241" ht="12.75">
      <c r="G1241" s="14"/>
    </row>
    <row r="1242" ht="12.75">
      <c r="G1242" s="14"/>
    </row>
    <row r="1243" ht="12.75">
      <c r="G1243" s="14"/>
    </row>
    <row r="1244" ht="12.75">
      <c r="G1244" s="14"/>
    </row>
    <row r="1245" ht="12.75">
      <c r="G1245" s="14"/>
    </row>
    <row r="1246" ht="12.75">
      <c r="G1246" s="14"/>
    </row>
    <row r="1247" ht="12.75">
      <c r="G1247" s="14"/>
    </row>
    <row r="1248" ht="12.75">
      <c r="G1248" s="14"/>
    </row>
    <row r="1249" ht="12.75">
      <c r="G1249" s="14"/>
    </row>
    <row r="1250" ht="12.75">
      <c r="G1250" s="14"/>
    </row>
    <row r="1251" ht="12.75">
      <c r="G1251" s="14"/>
    </row>
    <row r="1252" ht="12.75">
      <c r="G1252" s="14"/>
    </row>
    <row r="1253" ht="12.75">
      <c r="G1253" s="14"/>
    </row>
    <row r="1254" ht="12.75">
      <c r="G1254" s="14"/>
    </row>
    <row r="1255" ht="12.75">
      <c r="G1255" s="14"/>
    </row>
    <row r="1256" ht="12.75">
      <c r="G1256" s="14"/>
    </row>
    <row r="1257" ht="12.75">
      <c r="G1257" s="14"/>
    </row>
    <row r="1258" ht="12.75">
      <c r="G1258" s="14"/>
    </row>
    <row r="1259" ht="12.75">
      <c r="G1259" s="14"/>
    </row>
    <row r="1260" ht="12.75">
      <c r="G1260" s="14"/>
    </row>
    <row r="1261" ht="12.75">
      <c r="G1261" s="14"/>
    </row>
    <row r="1262" ht="12.75">
      <c r="G1262" s="14"/>
    </row>
    <row r="1263" ht="12.75">
      <c r="G1263" s="14"/>
    </row>
    <row r="1264" ht="12.75">
      <c r="G1264" s="14"/>
    </row>
    <row r="1265" ht="12.75">
      <c r="G1265" s="14"/>
    </row>
    <row r="1266" ht="12.75">
      <c r="G1266" s="14"/>
    </row>
    <row r="1267" ht="12.75">
      <c r="G1267" s="14"/>
    </row>
    <row r="1268" ht="12.75">
      <c r="G1268" s="14"/>
    </row>
    <row r="1269" ht="12.75">
      <c r="G1269" s="14"/>
    </row>
    <row r="1270" ht="12.75">
      <c r="G1270" s="14"/>
    </row>
    <row r="1271" ht="12.75">
      <c r="G1271" s="14"/>
    </row>
    <row r="1272" ht="12.75">
      <c r="G1272" s="14"/>
    </row>
    <row r="1273" ht="12.75">
      <c r="G1273" s="14"/>
    </row>
    <row r="1274" ht="12.75">
      <c r="G1274" s="14"/>
    </row>
    <row r="1275" ht="12.75">
      <c r="G1275" s="14"/>
    </row>
    <row r="1276" ht="12.75">
      <c r="G1276" s="14"/>
    </row>
    <row r="1277" ht="12.75">
      <c r="G1277" s="14"/>
    </row>
    <row r="1278" ht="12.75">
      <c r="G1278" s="14"/>
    </row>
    <row r="1279" ht="12.75">
      <c r="G1279" s="14"/>
    </row>
    <row r="1280" ht="12.75">
      <c r="G1280" s="14"/>
    </row>
    <row r="1281" ht="12.75">
      <c r="G1281" s="14"/>
    </row>
    <row r="1282" ht="12.75">
      <c r="G1282" s="14"/>
    </row>
    <row r="1283" ht="12.75">
      <c r="G1283" s="14"/>
    </row>
    <row r="1284" ht="12.75">
      <c r="G1284" s="14"/>
    </row>
    <row r="1285" ht="12.75">
      <c r="G1285" s="14"/>
    </row>
    <row r="1286" ht="12.75">
      <c r="G1286" s="14"/>
    </row>
    <row r="1287" ht="12.75">
      <c r="G1287" s="14"/>
    </row>
    <row r="1288" ht="12.75">
      <c r="G1288" s="14"/>
    </row>
    <row r="1289" ht="12.75">
      <c r="G1289" s="14"/>
    </row>
    <row r="1290" ht="12.75">
      <c r="G1290" s="14"/>
    </row>
    <row r="1291" ht="12.75">
      <c r="G1291" s="14"/>
    </row>
    <row r="1292" ht="12.75">
      <c r="G1292" s="14"/>
    </row>
    <row r="1293" ht="12.75">
      <c r="G1293" s="14"/>
    </row>
    <row r="1294" ht="12.75">
      <c r="G1294" s="14"/>
    </row>
    <row r="1295" ht="12.75">
      <c r="G1295" s="14"/>
    </row>
    <row r="1296" ht="12.75">
      <c r="G1296" s="14"/>
    </row>
    <row r="1297" ht="12.75">
      <c r="G1297" s="14"/>
    </row>
    <row r="1298" ht="12.75">
      <c r="G1298" s="14"/>
    </row>
    <row r="1299" ht="12.75">
      <c r="G1299" s="14"/>
    </row>
    <row r="1300" ht="12.75">
      <c r="G1300" s="14"/>
    </row>
    <row r="1301" ht="12.75">
      <c r="G1301" s="14"/>
    </row>
    <row r="1302" ht="12.75">
      <c r="G1302" s="14"/>
    </row>
    <row r="1303" ht="12.75">
      <c r="G1303" s="14"/>
    </row>
    <row r="1304" ht="12.75">
      <c r="G1304" s="14"/>
    </row>
    <row r="1305" ht="12.75">
      <c r="G1305" s="14"/>
    </row>
    <row r="1306" ht="12.75">
      <c r="G1306" s="14"/>
    </row>
    <row r="1307" ht="12.75">
      <c r="G1307" s="14"/>
    </row>
    <row r="1308" ht="12.75">
      <c r="G1308" s="14"/>
    </row>
    <row r="1309" ht="12.75">
      <c r="G1309" s="14"/>
    </row>
    <row r="1310" ht="12.75">
      <c r="G1310" s="14"/>
    </row>
    <row r="1311" ht="12.75">
      <c r="G1311" s="14"/>
    </row>
    <row r="1312" ht="12.75">
      <c r="G1312" s="14"/>
    </row>
    <row r="1313" ht="12.75">
      <c r="G1313" s="14"/>
    </row>
    <row r="1314" ht="12.75">
      <c r="G1314" s="14"/>
    </row>
    <row r="1315" ht="12.75">
      <c r="G1315" s="14"/>
    </row>
    <row r="1316" ht="12.75">
      <c r="G1316" s="14"/>
    </row>
    <row r="1317" ht="12.75">
      <c r="G1317" s="14"/>
    </row>
    <row r="1318" ht="12.75">
      <c r="G1318" s="14"/>
    </row>
    <row r="1319" ht="12.75">
      <c r="G1319" s="14"/>
    </row>
    <row r="1320" ht="12.75">
      <c r="G1320" s="14"/>
    </row>
    <row r="1321" ht="12.75">
      <c r="G1321" s="14"/>
    </row>
    <row r="1322" ht="12.75">
      <c r="G1322" s="14"/>
    </row>
    <row r="1323" ht="12.75">
      <c r="G1323" s="14"/>
    </row>
    <row r="1324" ht="12.75">
      <c r="G1324" s="14"/>
    </row>
    <row r="1325" ht="12.75">
      <c r="G1325" s="14"/>
    </row>
    <row r="1326" ht="12.75">
      <c r="G1326" s="14"/>
    </row>
    <row r="1327" ht="12.75">
      <c r="G1327" s="14"/>
    </row>
    <row r="1328" ht="12.75">
      <c r="G1328" s="14"/>
    </row>
    <row r="1329" ht="12.75">
      <c r="G1329" s="14"/>
    </row>
    <row r="1330" ht="12.75">
      <c r="G1330" s="14"/>
    </row>
    <row r="1331" ht="12.75">
      <c r="G1331" s="14"/>
    </row>
    <row r="1332" ht="12.75">
      <c r="G1332" s="14"/>
    </row>
    <row r="1333" ht="12.75">
      <c r="G1333" s="14"/>
    </row>
    <row r="1334" ht="12.75">
      <c r="G1334" s="14"/>
    </row>
    <row r="1335" ht="12.75">
      <c r="G1335" s="14"/>
    </row>
    <row r="1336" ht="12.75">
      <c r="G1336" s="14"/>
    </row>
    <row r="1337" ht="12.75">
      <c r="G1337" s="14"/>
    </row>
    <row r="1338" ht="12.75">
      <c r="G1338" s="14"/>
    </row>
    <row r="1339" ht="12.75">
      <c r="G1339" s="14"/>
    </row>
    <row r="1340" ht="12.75">
      <c r="G1340" s="14"/>
    </row>
    <row r="1341" ht="12.75">
      <c r="G1341" s="14"/>
    </row>
    <row r="1342" ht="12.75">
      <c r="G1342" s="14"/>
    </row>
    <row r="1343" ht="12.75">
      <c r="G1343" s="14"/>
    </row>
    <row r="1344" ht="12.75">
      <c r="G1344" s="14"/>
    </row>
    <row r="1345" ht="12.75">
      <c r="G1345" s="14"/>
    </row>
    <row r="1346" ht="12.75">
      <c r="G1346" s="14"/>
    </row>
    <row r="1347" ht="12.75">
      <c r="G1347" s="14"/>
    </row>
    <row r="1348" ht="12.75">
      <c r="G1348" s="14"/>
    </row>
    <row r="1349" ht="12.75">
      <c r="G1349" s="14"/>
    </row>
    <row r="1350" ht="12.75">
      <c r="G1350" s="14"/>
    </row>
    <row r="1351" ht="12.75">
      <c r="G1351" s="14"/>
    </row>
    <row r="1352" ht="12.75">
      <c r="G1352" s="14"/>
    </row>
    <row r="1353" ht="12.75">
      <c r="G1353" s="14"/>
    </row>
    <row r="1354" ht="12.75">
      <c r="G1354" s="14"/>
    </row>
    <row r="1355" ht="12.75">
      <c r="G1355" s="14"/>
    </row>
    <row r="1356" ht="12.75">
      <c r="G1356" s="14"/>
    </row>
    <row r="1357" ht="12.75">
      <c r="G1357" s="14"/>
    </row>
    <row r="1358" ht="12.75">
      <c r="G1358" s="14"/>
    </row>
    <row r="1359" ht="12.75">
      <c r="G1359" s="14"/>
    </row>
    <row r="1360" ht="12.75">
      <c r="G1360" s="14"/>
    </row>
    <row r="1361" ht="12.75">
      <c r="G1361" s="14"/>
    </row>
    <row r="1362" ht="12.75">
      <c r="G1362" s="14"/>
    </row>
    <row r="1363" ht="12.75">
      <c r="G1363" s="14"/>
    </row>
    <row r="1364" ht="12.75">
      <c r="G1364" s="14"/>
    </row>
    <row r="1365" ht="12.75">
      <c r="G1365" s="14"/>
    </row>
    <row r="1366" ht="12.75">
      <c r="G1366" s="14"/>
    </row>
    <row r="1367" ht="12.75">
      <c r="G1367" s="14"/>
    </row>
    <row r="1368" ht="12.75">
      <c r="G1368" s="14"/>
    </row>
    <row r="1369" ht="12.75">
      <c r="G1369" s="14"/>
    </row>
    <row r="1370" ht="12.75">
      <c r="G1370" s="14"/>
    </row>
    <row r="1371" ht="12.75">
      <c r="G1371" s="14"/>
    </row>
    <row r="1372" ht="12.75">
      <c r="G1372" s="14"/>
    </row>
    <row r="1373" ht="12.75">
      <c r="G1373" s="14"/>
    </row>
    <row r="1374" ht="12.75">
      <c r="G1374" s="14"/>
    </row>
    <row r="1375" ht="12.75">
      <c r="G1375" s="14"/>
    </row>
    <row r="1376" ht="12.75">
      <c r="G1376" s="14"/>
    </row>
    <row r="1377" ht="12.75">
      <c r="G1377" s="14"/>
    </row>
    <row r="1378" ht="12.75">
      <c r="G1378" s="14"/>
    </row>
    <row r="1379" ht="12.75">
      <c r="G1379" s="14"/>
    </row>
    <row r="1380" ht="12.75">
      <c r="G1380" s="14"/>
    </row>
    <row r="1381" ht="12.75">
      <c r="G1381" s="14"/>
    </row>
    <row r="1382" ht="12.75">
      <c r="G1382" s="14"/>
    </row>
    <row r="1383" ht="12.75">
      <c r="G1383" s="14"/>
    </row>
    <row r="1384" ht="12.75">
      <c r="G1384" s="14"/>
    </row>
    <row r="1385" ht="12.75">
      <c r="G1385" s="14"/>
    </row>
    <row r="1386" ht="12.75">
      <c r="G1386" s="14"/>
    </row>
    <row r="1387" ht="12.75">
      <c r="G1387" s="14"/>
    </row>
    <row r="1388" ht="12.75">
      <c r="G1388" s="14"/>
    </row>
    <row r="1389" ht="12.75">
      <c r="G1389" s="14"/>
    </row>
    <row r="1390" ht="12.75">
      <c r="G1390" s="14"/>
    </row>
    <row r="1391" ht="12.75">
      <c r="G1391" s="14"/>
    </row>
    <row r="1392" ht="12.75">
      <c r="G1392" s="14"/>
    </row>
    <row r="1393" ht="12.75">
      <c r="G1393" s="14"/>
    </row>
    <row r="1394" ht="12.75">
      <c r="G1394" s="14"/>
    </row>
    <row r="1395" ht="12.75">
      <c r="G1395" s="14"/>
    </row>
    <row r="1396" ht="12.75">
      <c r="G1396" s="14"/>
    </row>
    <row r="1397" ht="12.75">
      <c r="G1397" s="14"/>
    </row>
    <row r="1398" ht="12.75">
      <c r="G1398" s="14"/>
    </row>
    <row r="1399" ht="12.75">
      <c r="G1399" s="14"/>
    </row>
    <row r="1400" ht="12.75">
      <c r="G1400" s="14"/>
    </row>
    <row r="1401" ht="12.75">
      <c r="G1401" s="14"/>
    </row>
    <row r="1402" ht="12.75">
      <c r="G1402" s="14"/>
    </row>
    <row r="1403" ht="12.75">
      <c r="G1403" s="14"/>
    </row>
    <row r="1404" ht="12.75">
      <c r="G1404" s="14"/>
    </row>
    <row r="1405" ht="12.75">
      <c r="G1405" s="14"/>
    </row>
    <row r="1406" ht="12.75">
      <c r="G1406" s="14"/>
    </row>
    <row r="1407" ht="12.75">
      <c r="G1407" s="14"/>
    </row>
    <row r="1408" ht="12.75">
      <c r="G1408" s="14"/>
    </row>
    <row r="1409" ht="12.75">
      <c r="G1409" s="14"/>
    </row>
    <row r="1410" ht="12.75">
      <c r="G1410" s="14"/>
    </row>
    <row r="1411" ht="12.75">
      <c r="G1411" s="14"/>
    </row>
    <row r="1412" ht="12.75">
      <c r="G1412" s="14"/>
    </row>
    <row r="1413" ht="12.75">
      <c r="G1413" s="14"/>
    </row>
    <row r="1414" ht="12.75">
      <c r="G1414" s="14"/>
    </row>
    <row r="1415" ht="12.75">
      <c r="G1415" s="14"/>
    </row>
    <row r="1416" ht="12.75">
      <c r="G1416" s="14"/>
    </row>
    <row r="1417" ht="12.75">
      <c r="G1417" s="14"/>
    </row>
    <row r="1418" ht="12.75">
      <c r="G1418" s="14"/>
    </row>
    <row r="1419" ht="12.75">
      <c r="G1419" s="14"/>
    </row>
    <row r="1420" ht="12.75">
      <c r="G1420" s="14"/>
    </row>
    <row r="1421" ht="12.75">
      <c r="G1421" s="14"/>
    </row>
    <row r="1422" ht="12.75">
      <c r="G1422" s="14"/>
    </row>
    <row r="1423" ht="12.75">
      <c r="G1423" s="14"/>
    </row>
    <row r="1424" ht="12.75">
      <c r="G1424" s="14"/>
    </row>
    <row r="1425" ht="12.75">
      <c r="G1425" s="14"/>
    </row>
    <row r="1426" ht="12.75">
      <c r="G1426" s="14"/>
    </row>
    <row r="1427" ht="12.75">
      <c r="G1427" s="14"/>
    </row>
    <row r="1428" ht="12.75">
      <c r="G1428" s="14"/>
    </row>
    <row r="1429" ht="12.75">
      <c r="G1429" s="14"/>
    </row>
    <row r="1430" ht="12.75">
      <c r="G1430" s="14"/>
    </row>
    <row r="1431" ht="12.75">
      <c r="G1431" s="14"/>
    </row>
    <row r="1432" ht="12.75">
      <c r="G1432" s="14"/>
    </row>
    <row r="1433" ht="12.75">
      <c r="G1433" s="14"/>
    </row>
    <row r="1434" ht="12.75">
      <c r="G1434" s="14"/>
    </row>
    <row r="1435" ht="12.75">
      <c r="G1435" s="14"/>
    </row>
    <row r="1436" ht="12.75">
      <c r="G1436" s="14"/>
    </row>
    <row r="1437" ht="12.75">
      <c r="G1437" s="14"/>
    </row>
    <row r="1438" ht="12.75">
      <c r="G1438" s="14"/>
    </row>
    <row r="1439" ht="12.75">
      <c r="G1439" s="14"/>
    </row>
    <row r="1440" ht="12.75">
      <c r="G1440" s="14"/>
    </row>
    <row r="1441" ht="12.75">
      <c r="G1441" s="14"/>
    </row>
    <row r="1442" ht="12.75">
      <c r="G1442" s="14"/>
    </row>
    <row r="1443" ht="12.75">
      <c r="G1443" s="14"/>
    </row>
    <row r="1444" ht="12.75">
      <c r="G1444" s="14"/>
    </row>
    <row r="1445" ht="12.75">
      <c r="G1445" s="14"/>
    </row>
    <row r="1446" ht="12.75">
      <c r="G1446" s="14"/>
    </row>
    <row r="1447" ht="12.75">
      <c r="G1447" s="14"/>
    </row>
    <row r="1448" ht="12.75">
      <c r="G1448" s="14"/>
    </row>
    <row r="1449" ht="12.75">
      <c r="G1449" s="14"/>
    </row>
    <row r="1450" ht="12.75">
      <c r="G1450" s="14"/>
    </row>
    <row r="1451" ht="12.75">
      <c r="G1451" s="14"/>
    </row>
    <row r="1452" ht="12.75">
      <c r="G1452" s="14"/>
    </row>
    <row r="1453" ht="12.75">
      <c r="G1453" s="14"/>
    </row>
    <row r="1454" ht="12.75">
      <c r="G1454" s="14"/>
    </row>
    <row r="1455" ht="12.75">
      <c r="G1455" s="14"/>
    </row>
    <row r="1456" ht="12.75">
      <c r="G1456" s="14"/>
    </row>
    <row r="1457" ht="12.75">
      <c r="G1457" s="14"/>
    </row>
    <row r="1458" ht="12.75">
      <c r="G1458" s="14"/>
    </row>
    <row r="1459" ht="12.75">
      <c r="G1459" s="14"/>
    </row>
    <row r="1460" ht="12.75">
      <c r="G1460" s="14"/>
    </row>
    <row r="1461" ht="12.75">
      <c r="G1461" s="14"/>
    </row>
    <row r="1462" ht="12.75">
      <c r="G1462" s="14"/>
    </row>
    <row r="1463" ht="12.75">
      <c r="G1463" s="14"/>
    </row>
    <row r="1464" ht="12.75">
      <c r="G1464" s="14"/>
    </row>
    <row r="1465" ht="12.75">
      <c r="G1465" s="14"/>
    </row>
    <row r="1466" ht="12.75">
      <c r="G1466" s="14"/>
    </row>
    <row r="1467" ht="12.75">
      <c r="G1467" s="14"/>
    </row>
    <row r="1468" ht="12.75">
      <c r="G1468" s="14"/>
    </row>
    <row r="1469" ht="12.75">
      <c r="G1469" s="14"/>
    </row>
    <row r="1470" ht="12.75">
      <c r="G1470" s="14"/>
    </row>
    <row r="1471" ht="12.75">
      <c r="G1471" s="14"/>
    </row>
    <row r="1472" ht="12.75">
      <c r="G1472" s="14"/>
    </row>
    <row r="1473" ht="12.75">
      <c r="G1473" s="14"/>
    </row>
    <row r="1474" ht="12.75">
      <c r="G1474" s="14"/>
    </row>
    <row r="1475" ht="12.75">
      <c r="G1475" s="14"/>
    </row>
    <row r="1476" ht="12.75">
      <c r="G1476" s="14"/>
    </row>
    <row r="1477" ht="12.75">
      <c r="G1477" s="14"/>
    </row>
    <row r="1478" ht="12.75">
      <c r="G1478" s="14"/>
    </row>
    <row r="1479" ht="12.75">
      <c r="G1479" s="14"/>
    </row>
    <row r="1480" ht="12.75">
      <c r="G1480" s="14"/>
    </row>
    <row r="1481" ht="12.75">
      <c r="G1481" s="14"/>
    </row>
    <row r="1482" ht="12.75">
      <c r="G1482" s="14"/>
    </row>
    <row r="1483" ht="12.75">
      <c r="G1483" s="14"/>
    </row>
    <row r="1484" ht="12.75">
      <c r="G1484" s="14"/>
    </row>
    <row r="1485" ht="12.75">
      <c r="G1485" s="14"/>
    </row>
    <row r="1486" ht="12.75">
      <c r="G1486" s="14"/>
    </row>
    <row r="1487" ht="12.75">
      <c r="G1487" s="14"/>
    </row>
    <row r="1488" ht="12.75">
      <c r="G1488" s="14"/>
    </row>
    <row r="1489" ht="12.75">
      <c r="G1489" s="14"/>
    </row>
    <row r="1490" ht="12.75">
      <c r="G1490" s="14"/>
    </row>
    <row r="1491" ht="12.75">
      <c r="G1491" s="14"/>
    </row>
    <row r="1492" ht="12.75">
      <c r="G1492" s="14"/>
    </row>
    <row r="1493" ht="12.75">
      <c r="G1493" s="14"/>
    </row>
    <row r="1494" ht="12.75">
      <c r="G1494" s="14"/>
    </row>
    <row r="1495" ht="12.75">
      <c r="G1495" s="14"/>
    </row>
    <row r="1496" ht="12.75">
      <c r="G1496" s="14"/>
    </row>
    <row r="1497" ht="12.75">
      <c r="G1497" s="14"/>
    </row>
    <row r="1498" ht="12.75">
      <c r="G1498" s="14"/>
    </row>
    <row r="1499" ht="12.75">
      <c r="G1499" s="14"/>
    </row>
    <row r="1500" ht="12.75">
      <c r="G1500" s="14"/>
    </row>
    <row r="1501" ht="12.75">
      <c r="G1501" s="14"/>
    </row>
    <row r="1502" ht="12.75">
      <c r="G1502" s="14"/>
    </row>
    <row r="1503" ht="12.75">
      <c r="G1503" s="14"/>
    </row>
    <row r="1504" ht="12.75">
      <c r="G1504" s="14"/>
    </row>
    <row r="1505" ht="12.75">
      <c r="G1505" s="14"/>
    </row>
    <row r="1506" ht="12.75">
      <c r="G1506" s="14"/>
    </row>
    <row r="1507" ht="12.75">
      <c r="G1507" s="14"/>
    </row>
    <row r="1508" ht="12.75">
      <c r="G1508" s="14"/>
    </row>
    <row r="1509" ht="12.75">
      <c r="G1509" s="14"/>
    </row>
    <row r="1510" ht="12.75">
      <c r="G1510" s="14"/>
    </row>
    <row r="1511" ht="12.75">
      <c r="G1511" s="14"/>
    </row>
    <row r="1512" ht="12.75">
      <c r="G1512" s="14"/>
    </row>
    <row r="1513" ht="12.75">
      <c r="G1513" s="14"/>
    </row>
    <row r="1514" ht="12.75">
      <c r="G1514" s="14"/>
    </row>
    <row r="1515" ht="12.75">
      <c r="G1515" s="14"/>
    </row>
    <row r="1516" ht="12.75">
      <c r="G1516" s="14"/>
    </row>
    <row r="1517" ht="12.75">
      <c r="G1517" s="14"/>
    </row>
    <row r="1518" ht="12.75">
      <c r="G1518" s="14"/>
    </row>
    <row r="1519" ht="12.75">
      <c r="G1519" s="14"/>
    </row>
    <row r="1520" ht="12.75">
      <c r="G1520" s="14"/>
    </row>
    <row r="1521" ht="12.75">
      <c r="G1521" s="14"/>
    </row>
    <row r="1522" ht="12.75">
      <c r="G1522" s="14"/>
    </row>
    <row r="1523" ht="12.75">
      <c r="G1523" s="14"/>
    </row>
    <row r="1524" ht="12.75">
      <c r="G1524" s="14"/>
    </row>
    <row r="1525" ht="12.75">
      <c r="G1525" s="14"/>
    </row>
    <row r="1526" ht="12.75">
      <c r="G1526" s="14"/>
    </row>
    <row r="1527" ht="12.75">
      <c r="G1527" s="14"/>
    </row>
    <row r="1528" ht="12.75">
      <c r="G1528" s="14"/>
    </row>
    <row r="1529" ht="12.75">
      <c r="G1529" s="14"/>
    </row>
    <row r="1530" ht="12.75">
      <c r="G1530" s="14"/>
    </row>
    <row r="1531" ht="12.75">
      <c r="G1531" s="14"/>
    </row>
    <row r="1532" ht="12.75">
      <c r="G1532" s="14"/>
    </row>
    <row r="1533" ht="12.75">
      <c r="G1533" s="14"/>
    </row>
    <row r="1534" ht="12.75">
      <c r="G1534" s="14"/>
    </row>
    <row r="1535" ht="12.75">
      <c r="G1535" s="14"/>
    </row>
    <row r="1536" ht="12.75">
      <c r="G1536" s="14"/>
    </row>
    <row r="1537" ht="12.75">
      <c r="G1537" s="14"/>
    </row>
    <row r="1538" ht="12.75">
      <c r="G1538" s="14"/>
    </row>
    <row r="1539" ht="12.75">
      <c r="G1539" s="14"/>
    </row>
    <row r="1540" ht="12.75">
      <c r="G1540" s="14"/>
    </row>
    <row r="1541" ht="12.75">
      <c r="G1541" s="14"/>
    </row>
    <row r="1542" ht="12.75">
      <c r="G1542" s="14"/>
    </row>
    <row r="1543" ht="12.75">
      <c r="G1543" s="14"/>
    </row>
    <row r="1544" ht="12.75">
      <c r="G1544" s="14"/>
    </row>
    <row r="1545" ht="12.75">
      <c r="G1545" s="14"/>
    </row>
    <row r="1546" ht="12.75">
      <c r="G1546" s="14"/>
    </row>
    <row r="1547" ht="12.75">
      <c r="G1547" s="14"/>
    </row>
    <row r="1548" ht="12.75">
      <c r="G1548" s="14"/>
    </row>
    <row r="1549" ht="12.75">
      <c r="G1549" s="14"/>
    </row>
    <row r="1550" ht="12.75">
      <c r="G1550" s="14"/>
    </row>
    <row r="1551" ht="12.75">
      <c r="G1551" s="14"/>
    </row>
    <row r="1552" ht="12.75">
      <c r="G1552" s="14"/>
    </row>
    <row r="1553" ht="12.75">
      <c r="G1553" s="14"/>
    </row>
    <row r="1554" ht="12.75">
      <c r="G1554" s="14"/>
    </row>
    <row r="1555" ht="12.75">
      <c r="G1555" s="14"/>
    </row>
    <row r="1556" ht="12.75">
      <c r="G1556" s="14"/>
    </row>
    <row r="1557" ht="12.75">
      <c r="G1557" s="14"/>
    </row>
    <row r="1558" ht="12.75">
      <c r="G1558" s="14"/>
    </row>
    <row r="1559" ht="12.75">
      <c r="G1559" s="14"/>
    </row>
    <row r="1560" ht="12.75">
      <c r="G1560" s="14"/>
    </row>
    <row r="1561" ht="12.75">
      <c r="G1561" s="14"/>
    </row>
    <row r="1562" ht="12.75">
      <c r="G1562" s="14"/>
    </row>
    <row r="1563" ht="12.75">
      <c r="G1563" s="14"/>
    </row>
    <row r="1564" ht="12.75">
      <c r="G1564" s="14"/>
    </row>
    <row r="1565" ht="12.75">
      <c r="G1565" s="14"/>
    </row>
    <row r="1566" ht="12.75">
      <c r="G1566" s="14"/>
    </row>
    <row r="1567" ht="12.75">
      <c r="G1567" s="14"/>
    </row>
    <row r="1568" ht="12.75">
      <c r="G1568" s="14"/>
    </row>
    <row r="1569" ht="12.75">
      <c r="G1569" s="14"/>
    </row>
    <row r="1570" ht="12.75">
      <c r="G1570" s="14"/>
    </row>
    <row r="1571" ht="12.75">
      <c r="G1571" s="14"/>
    </row>
    <row r="1572" ht="12.75">
      <c r="G1572" s="14"/>
    </row>
    <row r="1573" ht="12.75">
      <c r="G1573" s="14"/>
    </row>
    <row r="1574" ht="12.75">
      <c r="G1574" s="14"/>
    </row>
    <row r="1575" ht="12.75">
      <c r="G1575" s="14"/>
    </row>
    <row r="1576" ht="12.75">
      <c r="G1576" s="14"/>
    </row>
    <row r="1577" ht="12.75">
      <c r="G1577" s="14"/>
    </row>
    <row r="1578" ht="12.75">
      <c r="G1578" s="14"/>
    </row>
    <row r="1579" ht="12.75">
      <c r="G1579" s="14"/>
    </row>
    <row r="1580" ht="12.75">
      <c r="G1580" s="14"/>
    </row>
    <row r="1581" ht="12.75">
      <c r="G1581" s="14"/>
    </row>
    <row r="1582" ht="12.75">
      <c r="G1582" s="14"/>
    </row>
    <row r="1583" ht="12.75">
      <c r="G1583" s="14"/>
    </row>
    <row r="1584" ht="12.75">
      <c r="G1584" s="14"/>
    </row>
    <row r="1585" ht="12.75">
      <c r="G1585" s="14"/>
    </row>
    <row r="1586" ht="12.75">
      <c r="G1586" s="14"/>
    </row>
    <row r="1587" ht="12.75">
      <c r="G1587" s="14"/>
    </row>
    <row r="1588" ht="12.75">
      <c r="G1588" s="14"/>
    </row>
    <row r="1589" ht="12.75">
      <c r="G1589" s="14"/>
    </row>
    <row r="1590" ht="12.75">
      <c r="G1590" s="14"/>
    </row>
    <row r="1591" ht="12.75">
      <c r="G1591" s="14"/>
    </row>
    <row r="1592" ht="12.75">
      <c r="G1592" s="14"/>
    </row>
    <row r="1593" ht="12.75">
      <c r="G1593" s="14"/>
    </row>
    <row r="1594" ht="12.75">
      <c r="G1594" s="14"/>
    </row>
    <row r="1595" ht="12.75">
      <c r="G1595" s="14"/>
    </row>
    <row r="1596" ht="12.75">
      <c r="G1596" s="14"/>
    </row>
    <row r="1597" ht="12.75">
      <c r="G1597" s="14"/>
    </row>
    <row r="1598" ht="12.75">
      <c r="G1598" s="14"/>
    </row>
    <row r="1599" ht="12.75">
      <c r="G1599" s="14"/>
    </row>
    <row r="1600" ht="12.75">
      <c r="G1600" s="14"/>
    </row>
    <row r="1601" ht="12.75">
      <c r="G1601" s="14"/>
    </row>
    <row r="1602" ht="12.75">
      <c r="G1602" s="14"/>
    </row>
    <row r="1603" ht="12.75">
      <c r="G1603" s="14"/>
    </row>
    <row r="1604" ht="12.75">
      <c r="G1604" s="14"/>
    </row>
    <row r="1605" ht="12.75">
      <c r="G1605" s="14"/>
    </row>
    <row r="1606" ht="12.75">
      <c r="G1606" s="14"/>
    </row>
    <row r="1607" ht="12.75">
      <c r="G1607" s="14"/>
    </row>
    <row r="1608" ht="12.75">
      <c r="G1608" s="14"/>
    </row>
    <row r="1609" ht="12.75">
      <c r="G1609" s="14"/>
    </row>
    <row r="1610" ht="12.75">
      <c r="G1610" s="14"/>
    </row>
    <row r="1611" ht="12.75">
      <c r="G1611" s="14"/>
    </row>
    <row r="1612" ht="12.75">
      <c r="G1612" s="14"/>
    </row>
    <row r="1613" ht="12.75">
      <c r="G1613" s="14"/>
    </row>
    <row r="1614" ht="12.75">
      <c r="G1614" s="14"/>
    </row>
    <row r="1615" ht="12.75">
      <c r="G1615" s="14"/>
    </row>
    <row r="1616" ht="12.75">
      <c r="G1616" s="14"/>
    </row>
    <row r="1617" ht="12.75">
      <c r="G1617" s="14"/>
    </row>
    <row r="1618" ht="12.75">
      <c r="G1618" s="14"/>
    </row>
    <row r="1619" ht="12.75">
      <c r="G1619" s="14"/>
    </row>
    <row r="1620" ht="12.75">
      <c r="G1620" s="14"/>
    </row>
    <row r="1621" ht="12.75">
      <c r="G1621" s="14"/>
    </row>
    <row r="1622" ht="12.75">
      <c r="G1622" s="14"/>
    </row>
    <row r="1623" ht="12.75">
      <c r="G1623" s="14"/>
    </row>
    <row r="1624" ht="12.75">
      <c r="G1624" s="14"/>
    </row>
    <row r="1625" ht="12.75">
      <c r="G1625" s="14"/>
    </row>
    <row r="1626" ht="12.75">
      <c r="G1626" s="14"/>
    </row>
    <row r="1627" ht="12.75">
      <c r="G1627" s="14"/>
    </row>
    <row r="1628" ht="12.75">
      <c r="G1628" s="14"/>
    </row>
    <row r="1629" ht="12.75">
      <c r="G1629" s="14"/>
    </row>
    <row r="1630" ht="12.75">
      <c r="G1630" s="14"/>
    </row>
  </sheetData>
  <sheetProtection password="DDD9" sheet="1" objects="1" scenarios="1"/>
  <mergeCells count="7">
    <mergeCell ref="C316:D316"/>
    <mergeCell ref="C329:D329"/>
    <mergeCell ref="C330:D330"/>
    <mergeCell ref="B1:D1"/>
    <mergeCell ref="C138:D138"/>
    <mergeCell ref="C139:D139"/>
    <mergeCell ref="C315:D315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67"/>
  <sheetViews>
    <sheetView workbookViewId="0" topLeftCell="A1">
      <selection activeCell="D8" sqref="D8"/>
    </sheetView>
  </sheetViews>
  <sheetFormatPr defaultColWidth="9.140625" defaultRowHeight="12.75"/>
  <cols>
    <col min="1" max="1" width="9.140625" style="5" customWidth="1"/>
    <col min="2" max="2" width="38.57421875" style="4" customWidth="1"/>
    <col min="3" max="3" width="3.57421875" style="4" customWidth="1"/>
    <col min="4" max="4" width="12.421875" style="4" customWidth="1"/>
    <col min="5" max="5" width="13.00390625" style="5" bestFit="1" customWidth="1"/>
    <col min="6" max="6" width="11.421875" style="5" customWidth="1"/>
    <col min="7" max="16384" width="9.140625" style="5" customWidth="1"/>
  </cols>
  <sheetData>
    <row r="1" spans="2:6" ht="15.75">
      <c r="B1" s="159" t="s">
        <v>74</v>
      </c>
      <c r="C1" s="159"/>
      <c r="D1" s="159"/>
      <c r="E1" s="3"/>
      <c r="F1" s="2"/>
    </row>
    <row r="2" spans="2:6" ht="12.75">
      <c r="B2" s="15" t="s">
        <v>75</v>
      </c>
      <c r="C2" s="3"/>
      <c r="D2" s="3"/>
      <c r="E2" s="3"/>
      <c r="F2" s="2"/>
    </row>
    <row r="3" spans="2:6" ht="12.75">
      <c r="B3" s="15" t="s">
        <v>76</v>
      </c>
      <c r="C3" s="3"/>
      <c r="D3" s="3"/>
      <c r="E3" s="3"/>
      <c r="F3" s="2"/>
    </row>
    <row r="4" spans="2:6" ht="12.75">
      <c r="B4" s="3"/>
      <c r="C4" s="3"/>
      <c r="D4" s="3"/>
      <c r="E4" s="3"/>
      <c r="F4" s="2"/>
    </row>
    <row r="5" spans="2:6" ht="12.75">
      <c r="B5" s="1" t="s">
        <v>0</v>
      </c>
      <c r="C5" s="2"/>
      <c r="D5" s="2"/>
      <c r="E5" s="2"/>
      <c r="F5" s="2"/>
    </row>
    <row r="6" spans="2:6" ht="12.75">
      <c r="B6" s="1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4" ht="12.75">
      <c r="B8" s="1" t="s">
        <v>320</v>
      </c>
      <c r="C8" s="2"/>
      <c r="D8" s="2"/>
    </row>
    <row r="9" spans="2:4" ht="15">
      <c r="B9" s="10" t="s">
        <v>2</v>
      </c>
      <c r="C9" s="11"/>
      <c r="D9" s="3" t="s">
        <v>3</v>
      </c>
    </row>
    <row r="10" spans="2:4" ht="12.75">
      <c r="B10" s="11"/>
      <c r="C10" s="13"/>
      <c r="D10" s="12" t="s">
        <v>4</v>
      </c>
    </row>
    <row r="11" spans="1:6" ht="12.75">
      <c r="A11" s="5" t="s">
        <v>38</v>
      </c>
      <c r="B11" s="11" t="s">
        <v>6</v>
      </c>
      <c r="C11" s="13"/>
      <c r="D11" s="18">
        <f>4882023.65+0.35</f>
        <v>4882024</v>
      </c>
      <c r="E11" s="14"/>
      <c r="F11" s="14">
        <v>0.35</v>
      </c>
    </row>
    <row r="12" spans="1:6" ht="12.75">
      <c r="A12" s="5" t="s">
        <v>77</v>
      </c>
      <c r="B12" s="4" t="s">
        <v>6</v>
      </c>
      <c r="D12" s="9">
        <f>40092808.04-0.04</f>
        <v>40092808</v>
      </c>
      <c r="E12" s="14"/>
      <c r="F12" s="14">
        <v>-0.04</v>
      </c>
    </row>
    <row r="13" spans="1:6" ht="12.75">
      <c r="A13" s="5" t="s">
        <v>217</v>
      </c>
      <c r="B13" s="4" t="s">
        <v>6</v>
      </c>
      <c r="D13" s="9">
        <f>3877582.7+0.3</f>
        <v>3877583</v>
      </c>
      <c r="E13" s="14"/>
      <c r="F13" s="14">
        <v>0.03</v>
      </c>
    </row>
    <row r="14" spans="1:6" ht="12.75">
      <c r="A14" s="5" t="s">
        <v>248</v>
      </c>
      <c r="B14" s="4" t="s">
        <v>6</v>
      </c>
      <c r="D14" s="9">
        <f>26736382.67+0.33</f>
        <v>26736383</v>
      </c>
      <c r="E14" s="14"/>
      <c r="F14" s="14">
        <v>0.33</v>
      </c>
    </row>
    <row r="15" spans="1:6" ht="12.75">
      <c r="A15" s="5" t="s">
        <v>275</v>
      </c>
      <c r="B15" s="4" t="s">
        <v>6</v>
      </c>
      <c r="D15" s="9">
        <f>2529222.81+0.19</f>
        <v>2529223</v>
      </c>
      <c r="E15" s="14"/>
      <c r="F15" s="14">
        <v>0.19</v>
      </c>
    </row>
    <row r="16" spans="1:6" ht="12.75">
      <c r="A16" s="5" t="s">
        <v>39</v>
      </c>
      <c r="B16" s="4" t="s">
        <v>6</v>
      </c>
      <c r="D16" s="9">
        <f>1455650.2-0.2</f>
        <v>1455650</v>
      </c>
      <c r="E16" s="14"/>
      <c r="F16" s="14">
        <f>-0.2</f>
        <v>-0.2</v>
      </c>
    </row>
    <row r="17" spans="1:6" ht="12.75">
      <c r="A17" s="5" t="s">
        <v>36</v>
      </c>
      <c r="B17" s="4" t="s">
        <v>6</v>
      </c>
      <c r="D17" s="9">
        <f>5818381.2-0.2</f>
        <v>5818381</v>
      </c>
      <c r="E17" s="14"/>
      <c r="F17" s="14">
        <v>-0.2</v>
      </c>
    </row>
    <row r="18" spans="1:7" ht="12.75">
      <c r="A18" s="5" t="s">
        <v>41</v>
      </c>
      <c r="B18" s="4" t="s">
        <v>6</v>
      </c>
      <c r="D18" s="46">
        <f>-7885692.38+0.38</f>
        <v>-7885692</v>
      </c>
      <c r="E18" s="14">
        <f>SUM(D11:D18)</f>
        <v>77506360</v>
      </c>
      <c r="F18" s="14">
        <v>0.38</v>
      </c>
      <c r="G18" s="14">
        <f>SUM(F11:F18)</f>
        <v>0.8399999999999999</v>
      </c>
    </row>
    <row r="19" spans="4:6" ht="12.75">
      <c r="D19" s="9"/>
      <c r="E19" s="14"/>
      <c r="F19" s="14"/>
    </row>
    <row r="20" spans="1:4" ht="12.75">
      <c r="A20" s="5" t="s">
        <v>38</v>
      </c>
      <c r="B20" s="4" t="s">
        <v>218</v>
      </c>
      <c r="D20" s="9">
        <v>-482116</v>
      </c>
    </row>
    <row r="21" spans="1:4" ht="12.75">
      <c r="A21" s="5" t="s">
        <v>77</v>
      </c>
      <c r="B21" s="4" t="s">
        <v>7</v>
      </c>
      <c r="D21" s="9">
        <v>831509</v>
      </c>
    </row>
    <row r="22" spans="1:4" ht="12.75">
      <c r="A22" s="5" t="s">
        <v>217</v>
      </c>
      <c r="B22" s="4" t="s">
        <v>7</v>
      </c>
      <c r="D22" s="9">
        <f>869424.18-0.18</f>
        <v>869424</v>
      </c>
    </row>
    <row r="23" spans="1:4" ht="12.75">
      <c r="A23" s="5" t="s">
        <v>248</v>
      </c>
      <c r="B23" s="4" t="s">
        <v>7</v>
      </c>
      <c r="D23" s="9">
        <v>4102173</v>
      </c>
    </row>
    <row r="24" spans="1:4" ht="12.75">
      <c r="A24" s="5" t="s">
        <v>275</v>
      </c>
      <c r="B24" s="4" t="s">
        <v>7</v>
      </c>
      <c r="D24" s="48">
        <v>811493</v>
      </c>
    </row>
    <row r="25" spans="1:4" ht="12.75">
      <c r="A25" s="5" t="s">
        <v>39</v>
      </c>
      <c r="B25" s="4" t="s">
        <v>7</v>
      </c>
      <c r="D25" s="48">
        <v>4090027</v>
      </c>
    </row>
    <row r="26" spans="1:4" ht="12.75">
      <c r="A26" s="5" t="s">
        <v>36</v>
      </c>
      <c r="B26" s="4" t="s">
        <v>7</v>
      </c>
      <c r="D26" s="48">
        <v>2144027</v>
      </c>
    </row>
    <row r="27" spans="1:5" ht="12.75">
      <c r="A27" s="5" t="s">
        <v>41</v>
      </c>
      <c r="B27" s="4" t="s">
        <v>7</v>
      </c>
      <c r="D27" s="50">
        <v>655084</v>
      </c>
      <c r="E27" s="14">
        <f>SUM(D20:D27)</f>
        <v>13021621</v>
      </c>
    </row>
    <row r="28" ht="12.75">
      <c r="D28" s="48"/>
    </row>
    <row r="29" spans="2:4" ht="12.75">
      <c r="B29" s="1" t="s">
        <v>400</v>
      </c>
      <c r="C29" s="2"/>
      <c r="D29" s="34"/>
    </row>
    <row r="30" spans="2:4" ht="15">
      <c r="B30" s="10" t="s">
        <v>2</v>
      </c>
      <c r="C30" s="11"/>
      <c r="D30" s="12" t="s">
        <v>3</v>
      </c>
    </row>
    <row r="31" spans="2:4" ht="12.75">
      <c r="B31" s="11"/>
      <c r="C31" s="13"/>
      <c r="D31" s="12" t="s">
        <v>4</v>
      </c>
    </row>
    <row r="32" spans="1:4" ht="12.75">
      <c r="A32" s="5" t="s">
        <v>77</v>
      </c>
      <c r="B32" s="4" t="s">
        <v>450</v>
      </c>
      <c r="D32" s="9">
        <v>10425150</v>
      </c>
    </row>
    <row r="33" spans="1:4" ht="12.75">
      <c r="A33" s="5" t="s">
        <v>77</v>
      </c>
      <c r="B33" s="4" t="s">
        <v>451</v>
      </c>
      <c r="D33" s="9">
        <v>581000</v>
      </c>
    </row>
    <row r="34" spans="1:4" ht="12.75">
      <c r="A34" s="5" t="s">
        <v>77</v>
      </c>
      <c r="B34" s="4" t="s">
        <v>9</v>
      </c>
      <c r="D34" s="9">
        <v>30000</v>
      </c>
    </row>
    <row r="35" spans="1:4" ht="12.75">
      <c r="A35" s="5" t="s">
        <v>77</v>
      </c>
      <c r="B35" s="4" t="s">
        <v>10</v>
      </c>
      <c r="D35" s="9">
        <f>24315.5+0.5-2</f>
        <v>24314</v>
      </c>
    </row>
    <row r="36" spans="1:5" ht="12.75">
      <c r="A36" s="5" t="s">
        <v>77</v>
      </c>
      <c r="B36" s="4" t="s">
        <v>11</v>
      </c>
      <c r="D36" s="46">
        <f>1639808.9+0.1</f>
        <v>1639809</v>
      </c>
      <c r="E36" s="14">
        <f>SUM(D32:D36)</f>
        <v>12700273</v>
      </c>
    </row>
    <row r="37" spans="1:4" ht="12.75">
      <c r="A37" s="5" t="s">
        <v>39</v>
      </c>
      <c r="B37" s="4" t="s">
        <v>318</v>
      </c>
      <c r="D37" s="9">
        <v>70000</v>
      </c>
    </row>
    <row r="38" spans="1:4" ht="12.75">
      <c r="A38" s="5" t="s">
        <v>39</v>
      </c>
      <c r="B38" s="4" t="s">
        <v>10</v>
      </c>
      <c r="D38" s="9">
        <v>18282</v>
      </c>
    </row>
    <row r="39" spans="1:4" ht="12.75">
      <c r="A39" s="5" t="s">
        <v>39</v>
      </c>
      <c r="B39" s="4" t="s">
        <v>11</v>
      </c>
      <c r="D39" s="9">
        <v>1058893</v>
      </c>
    </row>
    <row r="40" spans="1:5" ht="12.75">
      <c r="A40" s="5" t="s">
        <v>39</v>
      </c>
      <c r="B40" s="4" t="s">
        <v>348</v>
      </c>
      <c r="D40" s="46">
        <v>4571040</v>
      </c>
      <c r="E40" s="14">
        <f>SUM(D37:D40)</f>
        <v>5718215</v>
      </c>
    </row>
    <row r="41" spans="1:5" ht="12.75">
      <c r="A41" s="5" t="s">
        <v>36</v>
      </c>
      <c r="B41" s="4" t="s">
        <v>461</v>
      </c>
      <c r="D41" s="9">
        <v>419000</v>
      </c>
      <c r="E41" s="14"/>
    </row>
    <row r="42" spans="1:5" ht="12.75">
      <c r="A42" s="5" t="s">
        <v>36</v>
      </c>
      <c r="B42" s="4" t="s">
        <v>11</v>
      </c>
      <c r="D42" s="46">
        <v>49885</v>
      </c>
      <c r="E42" s="14">
        <f>SUM(D41:D42)</f>
        <v>468885</v>
      </c>
    </row>
    <row r="43" spans="1:5" ht="12.75">
      <c r="A43" s="5" t="s">
        <v>41</v>
      </c>
      <c r="B43" s="4" t="s">
        <v>10</v>
      </c>
      <c r="D43" s="48">
        <v>3353</v>
      </c>
      <c r="E43" s="4"/>
    </row>
    <row r="44" spans="1:5" ht="12.75">
      <c r="A44" s="5" t="s">
        <v>41</v>
      </c>
      <c r="B44" s="4" t="s">
        <v>11</v>
      </c>
      <c r="D44" s="48">
        <v>279636</v>
      </c>
      <c r="E44" s="4"/>
    </row>
    <row r="45" spans="1:6" ht="12.75">
      <c r="A45" s="5" t="s">
        <v>41</v>
      </c>
      <c r="B45" s="4" t="s">
        <v>348</v>
      </c>
      <c r="D45" s="50">
        <v>899300</v>
      </c>
      <c r="E45" s="48">
        <f>SUM(D43:D45)</f>
        <v>1182289</v>
      </c>
      <c r="F45" s="14">
        <f>SUM(E36:E45)</f>
        <v>20069662</v>
      </c>
    </row>
    <row r="46" spans="4:5" ht="12.75">
      <c r="D46" s="48"/>
      <c r="E46" s="4"/>
    </row>
    <row r="47" spans="4:5" ht="12.75">
      <c r="D47" s="48"/>
      <c r="E47" s="4"/>
    </row>
    <row r="48" spans="4:5" ht="12.75">
      <c r="D48" s="48"/>
      <c r="E48" s="4"/>
    </row>
    <row r="49" spans="2:4" ht="12.75">
      <c r="B49" s="1" t="s">
        <v>321</v>
      </c>
      <c r="C49" s="2"/>
      <c r="D49" s="34"/>
    </row>
    <row r="50" spans="2:4" ht="15">
      <c r="B50" s="10" t="s">
        <v>2</v>
      </c>
      <c r="C50" s="11"/>
      <c r="D50" s="12" t="s">
        <v>3</v>
      </c>
    </row>
    <row r="51" spans="2:4" ht="12.75">
      <c r="B51" s="11"/>
      <c r="C51" s="13"/>
      <c r="D51" s="12" t="s">
        <v>4</v>
      </c>
    </row>
    <row r="52" spans="1:4" ht="12.75">
      <c r="A52" s="5" t="s">
        <v>217</v>
      </c>
      <c r="B52" s="4" t="s">
        <v>219</v>
      </c>
      <c r="D52" s="9">
        <v>9000</v>
      </c>
    </row>
    <row r="53" spans="1:4" ht="12.75">
      <c r="A53" s="5" t="s">
        <v>217</v>
      </c>
      <c r="B53" s="4" t="s">
        <v>220</v>
      </c>
      <c r="D53" s="9">
        <v>201998</v>
      </c>
    </row>
    <row r="54" spans="1:4" ht="12.75">
      <c r="A54" s="5" t="s">
        <v>217</v>
      </c>
      <c r="B54" s="4" t="s">
        <v>221</v>
      </c>
      <c r="D54" s="9">
        <v>352525</v>
      </c>
    </row>
    <row r="55" spans="1:5" ht="12.75">
      <c r="A55" s="5" t="s">
        <v>217</v>
      </c>
      <c r="B55" s="4" t="s">
        <v>222</v>
      </c>
      <c r="D55" s="46">
        <f>713105.1-0.1</f>
        <v>713105</v>
      </c>
      <c r="E55" s="14">
        <f>SUM(D52:D55)</f>
        <v>1276628</v>
      </c>
    </row>
    <row r="56" spans="1:5" ht="12.75">
      <c r="A56" s="5" t="s">
        <v>39</v>
      </c>
      <c r="B56" s="4" t="s">
        <v>317</v>
      </c>
      <c r="D56" s="9">
        <v>8267</v>
      </c>
      <c r="E56" s="14"/>
    </row>
    <row r="57" spans="1:5" ht="12.75">
      <c r="A57" s="5" t="s">
        <v>39</v>
      </c>
      <c r="B57" s="4" t="s">
        <v>318</v>
      </c>
      <c r="D57" s="9">
        <v>85308</v>
      </c>
      <c r="E57" s="14"/>
    </row>
    <row r="58" spans="1:5" ht="12.75">
      <c r="A58" s="5" t="s">
        <v>39</v>
      </c>
      <c r="B58" s="4" t="s">
        <v>319</v>
      </c>
      <c r="D58" s="46">
        <v>2000</v>
      </c>
      <c r="E58" s="14">
        <f>SUM(D56:D58)</f>
        <v>95575</v>
      </c>
    </row>
    <row r="59" spans="1:5" ht="12.75">
      <c r="A59" s="5" t="s">
        <v>36</v>
      </c>
      <c r="B59" s="4" t="s">
        <v>401</v>
      </c>
      <c r="D59" s="49">
        <v>4561</v>
      </c>
      <c r="E59" s="14">
        <f>D59</f>
        <v>4561</v>
      </c>
    </row>
    <row r="60" spans="1:5" ht="12.75">
      <c r="A60" s="5" t="s">
        <v>41</v>
      </c>
      <c r="B60" s="4" t="s">
        <v>415</v>
      </c>
      <c r="D60" s="9">
        <v>20000</v>
      </c>
      <c r="E60" s="14"/>
    </row>
    <row r="61" spans="1:5" ht="12.75">
      <c r="A61" s="5" t="s">
        <v>41</v>
      </c>
      <c r="B61" s="4" t="s">
        <v>416</v>
      </c>
      <c r="D61" s="9">
        <v>564025</v>
      </c>
      <c r="E61" s="14"/>
    </row>
    <row r="62" spans="1:5" ht="12.75">
      <c r="A62" s="5" t="s">
        <v>41</v>
      </c>
      <c r="B62" s="4" t="s">
        <v>417</v>
      </c>
      <c r="D62" s="9">
        <v>13900</v>
      </c>
      <c r="E62" s="14"/>
    </row>
    <row r="63" spans="1:5" ht="12.75">
      <c r="A63" s="5" t="s">
        <v>41</v>
      </c>
      <c r="B63" s="4" t="s">
        <v>418</v>
      </c>
      <c r="D63" s="46">
        <v>818</v>
      </c>
      <c r="E63" s="14">
        <f>SUM(D60:D63)</f>
        <v>598743</v>
      </c>
    </row>
    <row r="64" spans="4:5" ht="12.75">
      <c r="D64" s="9"/>
      <c r="E64" s="14"/>
    </row>
    <row r="65" spans="2:4" ht="12.75">
      <c r="B65" s="2"/>
      <c r="C65" s="2"/>
      <c r="D65" s="8"/>
    </row>
    <row r="66" spans="2:4" ht="13.5" customHeight="1">
      <c r="B66" s="1" t="s">
        <v>322</v>
      </c>
      <c r="C66" s="2"/>
      <c r="D66" s="12"/>
    </row>
    <row r="67" spans="2:4" ht="13.5" customHeight="1">
      <c r="B67" s="10" t="s">
        <v>2</v>
      </c>
      <c r="C67" s="11"/>
      <c r="D67" s="12" t="s">
        <v>3</v>
      </c>
    </row>
    <row r="68" spans="2:4" ht="13.5" customHeight="1">
      <c r="B68" s="11"/>
      <c r="C68" s="13"/>
      <c r="D68" s="12" t="s">
        <v>4</v>
      </c>
    </row>
    <row r="69" spans="1:4" ht="13.5" customHeight="1">
      <c r="A69" s="5" t="s">
        <v>38</v>
      </c>
      <c r="B69" s="4" t="s">
        <v>91</v>
      </c>
      <c r="D69" s="9">
        <v>2587</v>
      </c>
    </row>
    <row r="70" spans="1:5" ht="13.5" customHeight="1">
      <c r="A70" s="5" t="s">
        <v>38</v>
      </c>
      <c r="B70" s="4" t="s">
        <v>20</v>
      </c>
      <c r="D70" s="46">
        <v>3478</v>
      </c>
      <c r="E70" s="14">
        <f>SUM(D69:D70)</f>
        <v>6065</v>
      </c>
    </row>
    <row r="71" spans="1:4" ht="12.75">
      <c r="A71" s="5" t="s">
        <v>77</v>
      </c>
      <c r="B71" s="4" t="s">
        <v>13</v>
      </c>
      <c r="D71" s="9">
        <v>79482</v>
      </c>
    </row>
    <row r="72" spans="1:4" ht="12.75">
      <c r="A72" s="5" t="s">
        <v>77</v>
      </c>
      <c r="B72" s="4" t="s">
        <v>14</v>
      </c>
      <c r="D72" s="9">
        <v>18051</v>
      </c>
    </row>
    <row r="73" spans="1:4" ht="12.75">
      <c r="A73" s="5" t="s">
        <v>77</v>
      </c>
      <c r="B73" s="4" t="s">
        <v>92</v>
      </c>
      <c r="D73" s="9">
        <f>23573.5+0.5</f>
        <v>23574</v>
      </c>
    </row>
    <row r="74" spans="1:4" ht="12.75">
      <c r="A74" s="5" t="s">
        <v>77</v>
      </c>
      <c r="B74" s="4" t="s">
        <v>15</v>
      </c>
      <c r="D74" s="9">
        <v>13543</v>
      </c>
    </row>
    <row r="75" spans="1:4" ht="12.75">
      <c r="A75" s="5" t="s">
        <v>77</v>
      </c>
      <c r="B75" s="4" t="s">
        <v>16</v>
      </c>
      <c r="D75" s="9">
        <v>294806</v>
      </c>
    </row>
    <row r="76" spans="1:4" ht="12.75" customHeight="1">
      <c r="A76" s="5" t="s">
        <v>77</v>
      </c>
      <c r="B76" s="4" t="s">
        <v>17</v>
      </c>
      <c r="D76" s="9">
        <v>1337756</v>
      </c>
    </row>
    <row r="77" spans="1:4" ht="12.75">
      <c r="A77" s="5" t="s">
        <v>77</v>
      </c>
      <c r="B77" s="4" t="s">
        <v>18</v>
      </c>
      <c r="D77" s="9">
        <v>149242</v>
      </c>
    </row>
    <row r="78" spans="1:4" ht="12.75">
      <c r="A78" s="5" t="s">
        <v>77</v>
      </c>
      <c r="B78" s="4" t="s">
        <v>19</v>
      </c>
      <c r="D78" s="9">
        <v>137488</v>
      </c>
    </row>
    <row r="79" spans="1:4" ht="12.75">
      <c r="A79" s="5" t="s">
        <v>77</v>
      </c>
      <c r="B79" s="4" t="s">
        <v>20</v>
      </c>
      <c r="D79" s="9">
        <v>19814</v>
      </c>
    </row>
    <row r="80" spans="1:5" ht="12.75" customHeight="1">
      <c r="A80" s="5" t="s">
        <v>77</v>
      </c>
      <c r="B80" s="4" t="s">
        <v>21</v>
      </c>
      <c r="D80" s="46">
        <v>49876</v>
      </c>
      <c r="E80" s="14">
        <f>SUM(D71:D80)</f>
        <v>2123632</v>
      </c>
    </row>
    <row r="81" spans="1:5" ht="12.75" customHeight="1">
      <c r="A81" s="5" t="s">
        <v>39</v>
      </c>
      <c r="B81" s="4" t="s">
        <v>13</v>
      </c>
      <c r="D81" s="9">
        <v>2420</v>
      </c>
      <c r="E81" s="14"/>
    </row>
    <row r="82" spans="1:5" ht="12.75" customHeight="1">
      <c r="A82" s="5" t="s">
        <v>39</v>
      </c>
      <c r="B82" s="4" t="s">
        <v>14</v>
      </c>
      <c r="D82" s="9">
        <v>52933</v>
      </c>
      <c r="E82" s="14"/>
    </row>
    <row r="83" spans="1:5" ht="12.75" customHeight="1">
      <c r="A83" s="5" t="s">
        <v>39</v>
      </c>
      <c r="B83" s="4" t="s">
        <v>15</v>
      </c>
      <c r="D83" s="9">
        <v>13791</v>
      </c>
      <c r="E83" s="14"/>
    </row>
    <row r="84" spans="1:5" ht="12.75" customHeight="1">
      <c r="A84" s="5" t="s">
        <v>39</v>
      </c>
      <c r="B84" s="4" t="s">
        <v>16</v>
      </c>
      <c r="D84" s="9">
        <v>205564</v>
      </c>
      <c r="E84" s="14"/>
    </row>
    <row r="85" spans="1:5" ht="12.75" customHeight="1">
      <c r="A85" s="5" t="s">
        <v>39</v>
      </c>
      <c r="B85" s="4" t="s">
        <v>17</v>
      </c>
      <c r="D85" s="9">
        <v>965453</v>
      </c>
      <c r="E85" s="14"/>
    </row>
    <row r="86" spans="1:5" ht="12.75" customHeight="1">
      <c r="A86" s="5" t="s">
        <v>39</v>
      </c>
      <c r="B86" s="4" t="s">
        <v>19</v>
      </c>
      <c r="D86" s="9">
        <v>1093</v>
      </c>
      <c r="E86" s="14"/>
    </row>
    <row r="87" spans="1:5" ht="12.75" customHeight="1">
      <c r="A87" s="5" t="s">
        <v>39</v>
      </c>
      <c r="B87" s="4" t="s">
        <v>20</v>
      </c>
      <c r="D87" s="46">
        <v>8027</v>
      </c>
      <c r="E87" s="14">
        <f>SUM(D81:D87)</f>
        <v>1249281</v>
      </c>
    </row>
    <row r="88" spans="1:5" ht="12.75" customHeight="1">
      <c r="A88" s="5" t="s">
        <v>36</v>
      </c>
      <c r="B88" s="4" t="s">
        <v>20</v>
      </c>
      <c r="D88" s="49">
        <v>386</v>
      </c>
      <c r="E88" s="14">
        <f>D88</f>
        <v>386</v>
      </c>
    </row>
    <row r="89" spans="1:5" ht="12.75" customHeight="1">
      <c r="A89" s="5" t="s">
        <v>41</v>
      </c>
      <c r="B89" s="4" t="s">
        <v>13</v>
      </c>
      <c r="D89" s="9">
        <v>79793</v>
      </c>
      <c r="E89" s="14"/>
    </row>
    <row r="90" spans="1:5" ht="12.75" customHeight="1">
      <c r="A90" s="5" t="s">
        <v>41</v>
      </c>
      <c r="B90" s="4" t="s">
        <v>414</v>
      </c>
      <c r="D90" s="9">
        <v>1550</v>
      </c>
      <c r="E90" s="14"/>
    </row>
    <row r="91" spans="1:5" ht="12.75" customHeight="1">
      <c r="A91" s="5" t="s">
        <v>41</v>
      </c>
      <c r="B91" s="4" t="s">
        <v>14</v>
      </c>
      <c r="D91" s="9">
        <v>13669</v>
      </c>
      <c r="E91" s="14"/>
    </row>
    <row r="92" spans="1:5" ht="12.75" customHeight="1">
      <c r="A92" s="5" t="s">
        <v>41</v>
      </c>
      <c r="B92" s="4" t="s">
        <v>17</v>
      </c>
      <c r="D92" s="9">
        <v>284709</v>
      </c>
      <c r="E92" s="14"/>
    </row>
    <row r="93" spans="1:5" ht="12.75" customHeight="1">
      <c r="A93" s="5" t="s">
        <v>41</v>
      </c>
      <c r="B93" s="4" t="s">
        <v>20</v>
      </c>
      <c r="D93" s="46">
        <f>10632.71+0.29</f>
        <v>10633</v>
      </c>
      <c r="E93" s="14">
        <f>SUM(D89:D93)</f>
        <v>390354</v>
      </c>
    </row>
    <row r="94" spans="4:5" ht="12.75" customHeight="1">
      <c r="D94" s="9"/>
      <c r="E94" s="14"/>
    </row>
    <row r="95" spans="2:4" ht="12.75" customHeight="1">
      <c r="B95" s="1" t="s">
        <v>323</v>
      </c>
      <c r="C95" s="2"/>
      <c r="D95" s="3"/>
    </row>
    <row r="96" spans="2:4" ht="12.75" customHeight="1">
      <c r="B96" s="10" t="s">
        <v>2</v>
      </c>
      <c r="C96" s="11"/>
      <c r="D96" s="3" t="s">
        <v>3</v>
      </c>
    </row>
    <row r="97" spans="2:4" ht="12.75" customHeight="1">
      <c r="B97" s="11"/>
      <c r="C97" s="13"/>
      <c r="D97" s="12" t="s">
        <v>4</v>
      </c>
    </row>
    <row r="98" spans="1:5" ht="12.75" customHeight="1">
      <c r="A98" s="5" t="s">
        <v>39</v>
      </c>
      <c r="B98" s="4" t="s">
        <v>340</v>
      </c>
      <c r="C98" s="2" t="s">
        <v>40</v>
      </c>
      <c r="D98" s="9">
        <v>0</v>
      </c>
      <c r="E98" s="14"/>
    </row>
    <row r="99" spans="1:4" ht="12.75" customHeight="1">
      <c r="A99" s="5" t="s">
        <v>39</v>
      </c>
      <c r="B99" s="4" t="s">
        <v>341</v>
      </c>
      <c r="C99" s="2" t="s">
        <v>40</v>
      </c>
      <c r="D99" s="9">
        <v>0</v>
      </c>
    </row>
    <row r="100" spans="1:4" ht="12.75" customHeight="1">
      <c r="A100" s="5" t="s">
        <v>39</v>
      </c>
      <c r="B100" s="4" t="s">
        <v>342</v>
      </c>
      <c r="C100" s="2" t="s">
        <v>40</v>
      </c>
      <c r="D100" s="9">
        <v>0</v>
      </c>
    </row>
    <row r="101" spans="1:4" ht="12.75" customHeight="1">
      <c r="A101" s="5" t="s">
        <v>39</v>
      </c>
      <c r="B101" s="4" t="s">
        <v>343</v>
      </c>
      <c r="C101" s="2" t="s">
        <v>40</v>
      </c>
      <c r="D101" s="9">
        <v>0</v>
      </c>
    </row>
    <row r="102" spans="1:4" ht="12.75" customHeight="1">
      <c r="A102" s="5" t="s">
        <v>39</v>
      </c>
      <c r="B102" s="4" t="s">
        <v>673</v>
      </c>
      <c r="C102" s="2" t="s">
        <v>37</v>
      </c>
      <c r="D102" s="9">
        <v>1599</v>
      </c>
    </row>
    <row r="103" spans="1:4" ht="12.75" customHeight="1">
      <c r="A103" s="5" t="s">
        <v>39</v>
      </c>
      <c r="B103" s="4" t="s">
        <v>345</v>
      </c>
      <c r="C103" s="2" t="s">
        <v>40</v>
      </c>
      <c r="D103" s="9">
        <v>0</v>
      </c>
    </row>
    <row r="104" spans="1:4" ht="12.75" customHeight="1">
      <c r="A104" s="5" t="s">
        <v>39</v>
      </c>
      <c r="B104" s="4" t="s">
        <v>346</v>
      </c>
      <c r="C104" s="2" t="s">
        <v>40</v>
      </c>
      <c r="D104" s="9">
        <v>0</v>
      </c>
    </row>
    <row r="105" spans="1:4" ht="12.75" customHeight="1">
      <c r="A105" s="5" t="s">
        <v>39</v>
      </c>
      <c r="B105" s="4" t="s">
        <v>347</v>
      </c>
      <c r="C105" s="2" t="s">
        <v>37</v>
      </c>
      <c r="D105" s="9">
        <v>3000</v>
      </c>
    </row>
    <row r="106" spans="1:6" ht="12.75" customHeight="1">
      <c r="A106" s="5" t="s">
        <v>39</v>
      </c>
      <c r="B106" s="4" t="s">
        <v>33</v>
      </c>
      <c r="C106" s="2" t="s">
        <v>37</v>
      </c>
      <c r="D106" s="46">
        <v>5643</v>
      </c>
      <c r="E106" s="14">
        <f>(SUM(D105:D106)+D102)-(SUM(D98:D101)+SUM(D103:D104))</f>
        <v>10242</v>
      </c>
      <c r="F106" s="2" t="s">
        <v>37</v>
      </c>
    </row>
    <row r="107" ht="12.75" customHeight="1">
      <c r="D107" s="9"/>
    </row>
    <row r="108" spans="2:4" ht="12.75">
      <c r="B108" s="1" t="s">
        <v>324</v>
      </c>
      <c r="C108" s="2"/>
      <c r="D108" s="3"/>
    </row>
    <row r="109" spans="2:4" ht="15">
      <c r="B109" s="10" t="s">
        <v>2</v>
      </c>
      <c r="C109" s="11"/>
      <c r="D109" s="3" t="s">
        <v>3</v>
      </c>
    </row>
    <row r="110" spans="2:4" ht="12.75">
      <c r="B110" s="11"/>
      <c r="C110" s="13"/>
      <c r="D110" s="12" t="s">
        <v>4</v>
      </c>
    </row>
    <row r="111" spans="1:4" ht="12.75">
      <c r="A111" s="5" t="s">
        <v>77</v>
      </c>
      <c r="B111" s="4" t="s">
        <v>22</v>
      </c>
      <c r="D111" s="9">
        <v>132500</v>
      </c>
    </row>
    <row r="112" spans="1:4" ht="12.75">
      <c r="A112" s="5" t="s">
        <v>77</v>
      </c>
      <c r="B112" s="4" t="s">
        <v>23</v>
      </c>
      <c r="D112" s="9">
        <v>0</v>
      </c>
    </row>
    <row r="113" spans="1:4" ht="12.75">
      <c r="A113" s="5" t="s">
        <v>77</v>
      </c>
      <c r="B113" s="4" t="s">
        <v>24</v>
      </c>
      <c r="D113" s="9">
        <v>311650</v>
      </c>
    </row>
    <row r="114" spans="1:5" ht="12.75">
      <c r="A114" s="5" t="s">
        <v>77</v>
      </c>
      <c r="B114" s="4" t="s">
        <v>25</v>
      </c>
      <c r="D114" s="46">
        <v>7094875</v>
      </c>
      <c r="E114" s="14">
        <f>SUM(D111:D114)</f>
        <v>7539025</v>
      </c>
    </row>
    <row r="115" spans="1:4" ht="12.75">
      <c r="A115" s="5" t="s">
        <v>248</v>
      </c>
      <c r="B115" s="4" t="s">
        <v>249</v>
      </c>
      <c r="D115" s="9">
        <v>163600</v>
      </c>
    </row>
    <row r="116" spans="1:5" ht="12.75">
      <c r="A116" s="5" t="s">
        <v>248</v>
      </c>
      <c r="B116" s="4" t="s">
        <v>250</v>
      </c>
      <c r="D116" s="46">
        <v>4656400</v>
      </c>
      <c r="E116" s="14">
        <f>SUM(D115:D116)</f>
        <v>4820000</v>
      </c>
    </row>
    <row r="117" spans="1:5" ht="12.75">
      <c r="A117" s="5" t="s">
        <v>275</v>
      </c>
      <c r="B117" s="4" t="s">
        <v>459</v>
      </c>
      <c r="D117" s="46">
        <v>1731225</v>
      </c>
      <c r="E117" s="14">
        <f>D117</f>
        <v>1731225</v>
      </c>
    </row>
    <row r="118" ht="12.75">
      <c r="D118" s="9"/>
    </row>
    <row r="119" spans="2:4" ht="12.75">
      <c r="B119" s="1" t="s">
        <v>325</v>
      </c>
      <c r="C119" s="2"/>
      <c r="D119" s="3"/>
    </row>
    <row r="120" spans="2:4" ht="15">
      <c r="B120" s="10" t="s">
        <v>2</v>
      </c>
      <c r="C120" s="11"/>
      <c r="D120" s="3" t="s">
        <v>3</v>
      </c>
    </row>
    <row r="121" spans="2:4" ht="12.75">
      <c r="B121" s="11"/>
      <c r="C121" s="13"/>
      <c r="D121" s="12" t="s">
        <v>4</v>
      </c>
    </row>
    <row r="122" spans="1:6" ht="12.75">
      <c r="A122" s="5" t="s">
        <v>77</v>
      </c>
      <c r="B122" s="4" t="s">
        <v>26</v>
      </c>
      <c r="D122" s="46">
        <v>5000</v>
      </c>
      <c r="E122" s="14">
        <f>SUM(D122:D122)</f>
        <v>5000</v>
      </c>
      <c r="F122" s="5" t="s">
        <v>670</v>
      </c>
    </row>
    <row r="123" spans="2:4" ht="12.75">
      <c r="B123" s="5"/>
      <c r="C123" s="5"/>
      <c r="D123" s="5"/>
    </row>
    <row r="124" spans="2:4" ht="12.75">
      <c r="B124" s="1" t="s">
        <v>326</v>
      </c>
      <c r="C124" s="2"/>
      <c r="D124" s="3"/>
    </row>
    <row r="125" spans="2:4" ht="15">
      <c r="B125" s="10" t="s">
        <v>2</v>
      </c>
      <c r="C125" s="11"/>
      <c r="D125" s="3" t="s">
        <v>3</v>
      </c>
    </row>
    <row r="126" spans="2:4" ht="12.75">
      <c r="B126" s="11"/>
      <c r="C126" s="13"/>
      <c r="D126" s="12" t="s">
        <v>4</v>
      </c>
    </row>
    <row r="127" spans="1:4" ht="12.75">
      <c r="A127" s="5" t="s">
        <v>77</v>
      </c>
      <c r="B127" s="4" t="s">
        <v>27</v>
      </c>
      <c r="D127" s="9">
        <v>4000</v>
      </c>
    </row>
    <row r="128" spans="1:4" ht="12.75">
      <c r="A128" s="5" t="s">
        <v>77</v>
      </c>
      <c r="B128" s="4" t="s">
        <v>28</v>
      </c>
      <c r="D128" s="9">
        <f>24992.35-0.35</f>
        <v>24992</v>
      </c>
    </row>
    <row r="129" spans="1:4" ht="12.75">
      <c r="A129" s="5" t="s">
        <v>77</v>
      </c>
      <c r="B129" s="4" t="s">
        <v>29</v>
      </c>
      <c r="D129" s="9">
        <v>2175</v>
      </c>
    </row>
    <row r="130" spans="1:4" ht="12.75">
      <c r="A130" s="5" t="s">
        <v>77</v>
      </c>
      <c r="B130" s="4" t="s">
        <v>30</v>
      </c>
      <c r="D130" s="9">
        <v>3510</v>
      </c>
    </row>
    <row r="131" spans="1:4" ht="12.75">
      <c r="A131" s="5" t="s">
        <v>77</v>
      </c>
      <c r="B131" s="4" t="s">
        <v>31</v>
      </c>
      <c r="D131" s="9">
        <v>7148</v>
      </c>
    </row>
    <row r="132" spans="1:4" ht="12.75">
      <c r="A132" s="5" t="s">
        <v>77</v>
      </c>
      <c r="B132" s="4" t="s">
        <v>32</v>
      </c>
      <c r="D132" s="9">
        <v>2240</v>
      </c>
    </row>
    <row r="133" spans="1:4" ht="12.75">
      <c r="A133" s="5" t="s">
        <v>77</v>
      </c>
      <c r="B133" s="4" t="s">
        <v>33</v>
      </c>
      <c r="D133" s="9">
        <v>0</v>
      </c>
    </row>
    <row r="134" spans="1:4" ht="12.75">
      <c r="A134" s="5" t="s">
        <v>77</v>
      </c>
      <c r="B134" s="4" t="s">
        <v>34</v>
      </c>
      <c r="D134" s="9">
        <v>2390</v>
      </c>
    </row>
    <row r="135" spans="1:5" ht="12.75">
      <c r="A135" s="5" t="s">
        <v>77</v>
      </c>
      <c r="B135" s="4" t="s">
        <v>35</v>
      </c>
      <c r="D135" s="46">
        <v>7900</v>
      </c>
      <c r="E135" s="14">
        <f>SUM(D127:D135)</f>
        <v>54355</v>
      </c>
    </row>
    <row r="136" ht="12.75">
      <c r="D136" s="9"/>
    </row>
    <row r="137" spans="2:4" ht="12.75">
      <c r="B137" s="3"/>
      <c r="C137" s="3"/>
      <c r="D137" s="8"/>
    </row>
    <row r="138" spans="2:4" ht="12.75">
      <c r="B138" s="1" t="s">
        <v>327</v>
      </c>
      <c r="C138" s="2"/>
      <c r="D138" s="3"/>
    </row>
    <row r="139" spans="2:4" ht="15">
      <c r="B139" s="10" t="s">
        <v>2</v>
      </c>
      <c r="C139" s="154" t="s">
        <v>3</v>
      </c>
      <c r="D139" s="154"/>
    </row>
    <row r="140" spans="2:4" ht="12.75">
      <c r="B140" s="3"/>
      <c r="C140" s="154" t="s">
        <v>4</v>
      </c>
      <c r="D140" s="154"/>
    </row>
    <row r="141" spans="1:4" ht="12.75">
      <c r="A141" s="5" t="s">
        <v>38</v>
      </c>
      <c r="B141" s="4" t="s">
        <v>36</v>
      </c>
      <c r="C141" s="2" t="s">
        <v>37</v>
      </c>
      <c r="D141" s="9">
        <v>1599587</v>
      </c>
    </row>
    <row r="142" spans="1:4" ht="12.75">
      <c r="A142" s="5" t="s">
        <v>38</v>
      </c>
      <c r="B142" s="4" t="s">
        <v>39</v>
      </c>
      <c r="C142" s="2" t="s">
        <v>37</v>
      </c>
      <c r="D142" s="9">
        <v>11344438</v>
      </c>
    </row>
    <row r="143" spans="1:4" ht="12.75">
      <c r="A143" s="5" t="s">
        <v>38</v>
      </c>
      <c r="B143" s="4" t="s">
        <v>41</v>
      </c>
      <c r="C143" s="2" t="s">
        <v>37</v>
      </c>
      <c r="D143" s="9">
        <v>149175</v>
      </c>
    </row>
    <row r="144" spans="1:4" ht="12.75">
      <c r="A144" s="5" t="s">
        <v>38</v>
      </c>
      <c r="B144" s="4" t="s">
        <v>78</v>
      </c>
      <c r="C144" s="2" t="s">
        <v>40</v>
      </c>
      <c r="D144" s="9">
        <v>5036503</v>
      </c>
    </row>
    <row r="145" spans="1:4" ht="12.75">
      <c r="A145" s="5" t="s">
        <v>38</v>
      </c>
      <c r="B145" s="4" t="s">
        <v>224</v>
      </c>
      <c r="C145" s="2" t="s">
        <v>37</v>
      </c>
      <c r="D145" s="9">
        <v>49587</v>
      </c>
    </row>
    <row r="146" spans="1:4" ht="12.75">
      <c r="A146" s="5" t="s">
        <v>38</v>
      </c>
      <c r="B146" s="4" t="s">
        <v>223</v>
      </c>
      <c r="C146" s="2" t="s">
        <v>37</v>
      </c>
      <c r="D146" s="9">
        <v>199587</v>
      </c>
    </row>
    <row r="147" spans="1:6" ht="12.75">
      <c r="A147" s="5" t="s">
        <v>38</v>
      </c>
      <c r="B147" s="4" t="s">
        <v>225</v>
      </c>
      <c r="C147" s="2" t="s">
        <v>37</v>
      </c>
      <c r="D147" s="46">
        <v>61351</v>
      </c>
      <c r="E147" s="14">
        <f>SUM(D145:D147)+SUM(D141:D143)-D144</f>
        <v>8367222</v>
      </c>
      <c r="F147" s="2" t="s">
        <v>37</v>
      </c>
    </row>
    <row r="148" spans="1:4" ht="12.75">
      <c r="A148" s="5" t="s">
        <v>77</v>
      </c>
      <c r="B148" s="4" t="s">
        <v>36</v>
      </c>
      <c r="C148" s="2" t="s">
        <v>37</v>
      </c>
      <c r="D148" s="9">
        <f>1127989.54+0.46</f>
        <v>1127990</v>
      </c>
    </row>
    <row r="149" spans="1:4" ht="12.75">
      <c r="A149" s="5" t="s">
        <v>77</v>
      </c>
      <c r="B149" s="4" t="s">
        <v>38</v>
      </c>
      <c r="C149" s="2" t="s">
        <v>37</v>
      </c>
      <c r="D149" s="9">
        <v>5036503</v>
      </c>
    </row>
    <row r="150" spans="1:4" ht="12.75">
      <c r="A150" s="5" t="s">
        <v>77</v>
      </c>
      <c r="B150" s="4" t="s">
        <v>39</v>
      </c>
      <c r="C150" s="2" t="s">
        <v>40</v>
      </c>
      <c r="D150" s="9">
        <f>32138915.74+0.26</f>
        <v>32138916</v>
      </c>
    </row>
    <row r="151" spans="1:4" ht="12.75">
      <c r="A151" s="5" t="s">
        <v>77</v>
      </c>
      <c r="B151" s="4" t="s">
        <v>41</v>
      </c>
      <c r="C151" s="2" t="s">
        <v>40</v>
      </c>
      <c r="D151" s="9">
        <f>28568517.07-0.07</f>
        <v>28568517</v>
      </c>
    </row>
    <row r="152" spans="1:4" ht="12.75">
      <c r="A152" s="5" t="s">
        <v>77</v>
      </c>
      <c r="B152" s="4" t="s">
        <v>224</v>
      </c>
      <c r="C152" s="2" t="s">
        <v>40</v>
      </c>
      <c r="D152" s="9">
        <f>1457788.56+0.44</f>
        <v>1457789</v>
      </c>
    </row>
    <row r="153" spans="1:4" ht="12.75">
      <c r="A153" s="5" t="s">
        <v>77</v>
      </c>
      <c r="B153" s="4" t="s">
        <v>223</v>
      </c>
      <c r="C153" s="2" t="s">
        <v>37</v>
      </c>
      <c r="D153" s="9">
        <f>16700765.96+0.04</f>
        <v>16700766</v>
      </c>
    </row>
    <row r="154" spans="1:6" ht="12.75">
      <c r="A154" s="5" t="s">
        <v>77</v>
      </c>
      <c r="B154" s="4" t="s">
        <v>225</v>
      </c>
      <c r="C154" s="2" t="s">
        <v>37</v>
      </c>
      <c r="D154" s="46">
        <f>6866162.81+0.19</f>
        <v>6866163</v>
      </c>
      <c r="E154" s="14">
        <f>SUM(D150:D152)-(SUM(D153:D154)+SUM(D148:D149))</f>
        <v>32433800</v>
      </c>
      <c r="F154" s="2" t="s">
        <v>40</v>
      </c>
    </row>
    <row r="155" spans="1:4" ht="12.75">
      <c r="A155" s="5" t="s">
        <v>217</v>
      </c>
      <c r="B155" s="4" t="s">
        <v>77</v>
      </c>
      <c r="C155" s="2" t="s">
        <v>37</v>
      </c>
      <c r="D155" s="9">
        <f>1457788.56+0.44</f>
        <v>1457789</v>
      </c>
    </row>
    <row r="156" spans="1:4" ht="12.75">
      <c r="A156" s="5" t="s">
        <v>217</v>
      </c>
      <c r="B156" s="4" t="s">
        <v>36</v>
      </c>
      <c r="C156" s="2" t="s">
        <v>40</v>
      </c>
      <c r="D156" s="9">
        <v>1599339</v>
      </c>
    </row>
    <row r="157" spans="1:4" ht="12.75">
      <c r="A157" s="5" t="s">
        <v>217</v>
      </c>
      <c r="B157" s="4" t="s">
        <v>39</v>
      </c>
      <c r="C157" s="2" t="s">
        <v>40</v>
      </c>
      <c r="D157" s="9">
        <f>821207.72+0.28</f>
        <v>821208</v>
      </c>
    </row>
    <row r="158" spans="1:4" ht="12.75">
      <c r="A158" s="5" t="s">
        <v>217</v>
      </c>
      <c r="B158" s="4" t="s">
        <v>41</v>
      </c>
      <c r="C158" s="2" t="s">
        <v>40</v>
      </c>
      <c r="D158" s="9">
        <f>2441294.6+0.4</f>
        <v>2441295</v>
      </c>
    </row>
    <row r="159" spans="1:4" ht="12.75">
      <c r="A159" s="5" t="s">
        <v>217</v>
      </c>
      <c r="B159" s="4" t="s">
        <v>223</v>
      </c>
      <c r="C159" s="2" t="s">
        <v>40</v>
      </c>
      <c r="D159" s="9">
        <v>39308</v>
      </c>
    </row>
    <row r="160" spans="1:4" ht="12.75">
      <c r="A160" s="5" t="s">
        <v>217</v>
      </c>
      <c r="B160" s="4" t="s">
        <v>225</v>
      </c>
      <c r="C160" s="2" t="s">
        <v>40</v>
      </c>
      <c r="D160" s="9">
        <v>311703</v>
      </c>
    </row>
    <row r="161" spans="1:6" ht="12.75">
      <c r="A161" s="5" t="s">
        <v>217</v>
      </c>
      <c r="B161" s="4" t="s">
        <v>38</v>
      </c>
      <c r="C161" s="2" t="s">
        <v>40</v>
      </c>
      <c r="D161" s="46">
        <v>49587</v>
      </c>
      <c r="E161" s="14">
        <f>SUM(D156:D161)-D155</f>
        <v>3804651</v>
      </c>
      <c r="F161" s="2" t="s">
        <v>40</v>
      </c>
    </row>
    <row r="162" spans="1:6" ht="12.75">
      <c r="A162" s="5" t="s">
        <v>248</v>
      </c>
      <c r="B162" s="4" t="s">
        <v>38</v>
      </c>
      <c r="C162" s="2" t="s">
        <v>40</v>
      </c>
      <c r="D162" s="9">
        <v>199587</v>
      </c>
      <c r="E162" s="14"/>
      <c r="F162" s="2"/>
    </row>
    <row r="163" spans="1:6" ht="12.75">
      <c r="A163" s="5" t="s">
        <v>248</v>
      </c>
      <c r="B163" s="4" t="s">
        <v>224</v>
      </c>
      <c r="C163" s="2" t="s">
        <v>37</v>
      </c>
      <c r="D163" s="9">
        <v>39308</v>
      </c>
      <c r="E163" s="14"/>
      <c r="F163" s="2"/>
    </row>
    <row r="164" spans="1:6" ht="12.75">
      <c r="A164" s="5" t="s">
        <v>248</v>
      </c>
      <c r="B164" s="4" t="s">
        <v>36</v>
      </c>
      <c r="C164" s="2" t="s">
        <v>40</v>
      </c>
      <c r="D164" s="9">
        <f>2515074.5+0.5</f>
        <v>2515075</v>
      </c>
      <c r="E164" s="14"/>
      <c r="F164" s="2"/>
    </row>
    <row r="165" spans="1:6" ht="12.75">
      <c r="A165" s="5" t="s">
        <v>248</v>
      </c>
      <c r="B165" s="4" t="s">
        <v>39</v>
      </c>
      <c r="C165" s="2" t="s">
        <v>40</v>
      </c>
      <c r="D165" s="9">
        <v>3546768</v>
      </c>
      <c r="E165" s="14"/>
      <c r="F165" s="2"/>
    </row>
    <row r="166" spans="1:6" ht="12.75">
      <c r="A166" s="5" t="s">
        <v>248</v>
      </c>
      <c r="B166" s="4" t="s">
        <v>41</v>
      </c>
      <c r="C166" s="2" t="s">
        <v>40</v>
      </c>
      <c r="D166" s="9">
        <v>11446330</v>
      </c>
      <c r="E166" s="14"/>
      <c r="F166" s="2"/>
    </row>
    <row r="167" spans="1:6" ht="12.75">
      <c r="A167" s="5" t="s">
        <v>248</v>
      </c>
      <c r="B167" s="4" t="s">
        <v>77</v>
      </c>
      <c r="C167" s="2" t="s">
        <v>40</v>
      </c>
      <c r="D167" s="9">
        <f>16700765.96+0.04</f>
        <v>16700766</v>
      </c>
      <c r="E167" s="14"/>
      <c r="F167" s="2"/>
    </row>
    <row r="168" spans="1:6" ht="12.75">
      <c r="A168" s="5" t="s">
        <v>248</v>
      </c>
      <c r="B168" s="4" t="s">
        <v>225</v>
      </c>
      <c r="C168" s="2" t="s">
        <v>40</v>
      </c>
      <c r="D168" s="46">
        <v>1037376</v>
      </c>
      <c r="E168" s="14">
        <f>SUM(D164:D168)+D162-D163</f>
        <v>35406594</v>
      </c>
      <c r="F168" s="2" t="s">
        <v>40</v>
      </c>
    </row>
    <row r="169" spans="1:5" ht="12.75">
      <c r="A169" s="5" t="s">
        <v>275</v>
      </c>
      <c r="B169" s="4" t="s">
        <v>38</v>
      </c>
      <c r="C169" s="2" t="s">
        <v>40</v>
      </c>
      <c r="D169" s="9">
        <v>61351</v>
      </c>
      <c r="E169" s="14"/>
    </row>
    <row r="170" spans="1:5" ht="12.75">
      <c r="A170" s="5" t="s">
        <v>275</v>
      </c>
      <c r="B170" s="4" t="s">
        <v>36</v>
      </c>
      <c r="C170" s="2" t="s">
        <v>37</v>
      </c>
      <c r="D170" s="9">
        <v>2549260</v>
      </c>
      <c r="E170" s="14"/>
    </row>
    <row r="171" spans="1:5" ht="12.75">
      <c r="A171" s="5" t="s">
        <v>275</v>
      </c>
      <c r="B171" s="4" t="s">
        <v>41</v>
      </c>
      <c r="C171" s="2" t="s">
        <v>37</v>
      </c>
      <c r="D171" s="9">
        <f>4710756.42-0.42</f>
        <v>4710756</v>
      </c>
      <c r="E171" s="14"/>
    </row>
    <row r="172" spans="1:5" ht="12.75">
      <c r="A172" s="5" t="s">
        <v>275</v>
      </c>
      <c r="B172" s="4" t="s">
        <v>224</v>
      </c>
      <c r="C172" s="2" t="s">
        <v>37</v>
      </c>
      <c r="D172" s="9">
        <v>311703</v>
      </c>
      <c r="E172" s="14"/>
    </row>
    <row r="173" spans="1:5" ht="12.75">
      <c r="A173" s="5" t="s">
        <v>275</v>
      </c>
      <c r="B173" s="4" t="s">
        <v>223</v>
      </c>
      <c r="C173" s="2" t="s">
        <v>37</v>
      </c>
      <c r="D173" s="9">
        <v>1037376</v>
      </c>
      <c r="E173" s="14"/>
    </row>
    <row r="174" spans="1:5" ht="12.75">
      <c r="A174" s="5" t="s">
        <v>275</v>
      </c>
      <c r="B174" s="4" t="s">
        <v>77</v>
      </c>
      <c r="C174" s="2" t="s">
        <v>40</v>
      </c>
      <c r="D174" s="9">
        <f>6866162.81+0.19</f>
        <v>6866163</v>
      </c>
      <c r="E174" s="14"/>
    </row>
    <row r="175" spans="1:6" ht="12.75">
      <c r="A175" s="5" t="s">
        <v>275</v>
      </c>
      <c r="B175" s="4" t="s">
        <v>39</v>
      </c>
      <c r="C175" s="2" t="s">
        <v>40</v>
      </c>
      <c r="D175" s="46">
        <f>5854658.5+0.5</f>
        <v>5854659</v>
      </c>
      <c r="E175" s="14">
        <f>(SUM(D174:D175)+SUM(D169))-SUM(D170:D173)</f>
        <v>4173078</v>
      </c>
      <c r="F175" s="2" t="s">
        <v>40</v>
      </c>
    </row>
    <row r="176" spans="1:4" ht="12.75">
      <c r="A176" s="5" t="s">
        <v>39</v>
      </c>
      <c r="B176" s="4" t="s">
        <v>77</v>
      </c>
      <c r="C176" s="2" t="s">
        <v>37</v>
      </c>
      <c r="D176" s="9">
        <f>32138915.74+0.26</f>
        <v>32138916</v>
      </c>
    </row>
    <row r="177" spans="1:4" ht="12.75">
      <c r="A177" s="5" t="s">
        <v>39</v>
      </c>
      <c r="B177" s="4" t="s">
        <v>224</v>
      </c>
      <c r="C177" s="2" t="s">
        <v>37</v>
      </c>
      <c r="D177" s="9">
        <f>821207.72+0.28</f>
        <v>821208</v>
      </c>
    </row>
    <row r="178" spans="1:4" ht="12.75">
      <c r="A178" s="5" t="s">
        <v>39</v>
      </c>
      <c r="B178" s="4" t="s">
        <v>223</v>
      </c>
      <c r="C178" s="2" t="s">
        <v>37</v>
      </c>
      <c r="D178" s="9">
        <v>3546768</v>
      </c>
    </row>
    <row r="179" spans="1:4" ht="12.75">
      <c r="A179" s="5" t="s">
        <v>39</v>
      </c>
      <c r="B179" s="4" t="s">
        <v>225</v>
      </c>
      <c r="C179" s="2" t="s">
        <v>37</v>
      </c>
      <c r="D179" s="9">
        <f>5854658.5+0.5</f>
        <v>5854659</v>
      </c>
    </row>
    <row r="180" spans="1:4" ht="12.75">
      <c r="A180" s="5" t="s">
        <v>39</v>
      </c>
      <c r="B180" s="4" t="s">
        <v>36</v>
      </c>
      <c r="C180" s="2" t="s">
        <v>37</v>
      </c>
      <c r="D180" s="9">
        <f>1801472.22-0.22</f>
        <v>1801472</v>
      </c>
    </row>
    <row r="181" spans="1:4" ht="12.75">
      <c r="A181" s="5" t="s">
        <v>39</v>
      </c>
      <c r="B181" s="4" t="s">
        <v>38</v>
      </c>
      <c r="C181" s="2" t="s">
        <v>40</v>
      </c>
      <c r="D181" s="9">
        <v>11344438</v>
      </c>
    </row>
    <row r="182" spans="1:6" ht="12.75">
      <c r="A182" s="5" t="s">
        <v>39</v>
      </c>
      <c r="B182" s="4" t="s">
        <v>41</v>
      </c>
      <c r="C182" s="2" t="s">
        <v>40</v>
      </c>
      <c r="D182" s="46">
        <f>12778120.61+0.39</f>
        <v>12778121</v>
      </c>
      <c r="E182" s="14">
        <f>SUM(D176:D180)-SUM(D181:D182)</f>
        <v>20040464</v>
      </c>
      <c r="F182" s="2" t="s">
        <v>37</v>
      </c>
    </row>
    <row r="183" spans="1:6" ht="12.75">
      <c r="A183" s="5" t="s">
        <v>36</v>
      </c>
      <c r="B183" s="4" t="s">
        <v>38</v>
      </c>
      <c r="C183" s="2" t="s">
        <v>40</v>
      </c>
      <c r="D183" s="9">
        <v>1599587</v>
      </c>
      <c r="E183" s="14"/>
      <c r="F183" s="2"/>
    </row>
    <row r="184" spans="1:6" ht="12.75">
      <c r="A184" s="5" t="s">
        <v>36</v>
      </c>
      <c r="B184" s="4" t="s">
        <v>39</v>
      </c>
      <c r="C184" s="2" t="s">
        <v>40</v>
      </c>
      <c r="D184" s="9">
        <f>1801472.22-0.22</f>
        <v>1801472</v>
      </c>
      <c r="E184" s="14"/>
      <c r="F184" s="2"/>
    </row>
    <row r="185" spans="1:6" ht="12.75">
      <c r="A185" s="5" t="s">
        <v>36</v>
      </c>
      <c r="B185" s="4" t="s">
        <v>77</v>
      </c>
      <c r="C185" s="2" t="s">
        <v>40</v>
      </c>
      <c r="D185" s="9">
        <f>1127989.54+0.46</f>
        <v>1127990</v>
      </c>
      <c r="E185" s="14"/>
      <c r="F185" s="2"/>
    </row>
    <row r="186" spans="1:6" ht="12.75">
      <c r="A186" s="5" t="s">
        <v>36</v>
      </c>
      <c r="B186" s="4" t="s">
        <v>398</v>
      </c>
      <c r="C186" s="2" t="s">
        <v>37</v>
      </c>
      <c r="D186" s="9">
        <f>2515074.5+0.5</f>
        <v>2515075</v>
      </c>
      <c r="E186" s="14"/>
      <c r="F186" s="2"/>
    </row>
    <row r="187" spans="1:6" ht="12.75">
      <c r="A187" s="5" t="s">
        <v>36</v>
      </c>
      <c r="B187" s="4" t="s">
        <v>224</v>
      </c>
      <c r="C187" s="2" t="s">
        <v>37</v>
      </c>
      <c r="D187" s="9">
        <v>1599339</v>
      </c>
      <c r="E187" s="14"/>
      <c r="F187" s="2"/>
    </row>
    <row r="188" spans="1:6" ht="12.75">
      <c r="A188" s="5" t="s">
        <v>36</v>
      </c>
      <c r="B188" s="4" t="s">
        <v>41</v>
      </c>
      <c r="C188" s="2" t="s">
        <v>37</v>
      </c>
      <c r="D188" s="9">
        <f>4614182.55+0.45</f>
        <v>4614183</v>
      </c>
      <c r="E188" s="14"/>
      <c r="F188" s="2"/>
    </row>
    <row r="189" spans="1:6" ht="12.75">
      <c r="A189" s="5" t="s">
        <v>36</v>
      </c>
      <c r="B189" s="4" t="s">
        <v>225</v>
      </c>
      <c r="C189" s="2" t="s">
        <v>40</v>
      </c>
      <c r="D189" s="46">
        <v>2549260</v>
      </c>
      <c r="E189" s="48">
        <f>SUM(D186:D188)-(SUM(D183:D185)+D189)</f>
        <v>1650288</v>
      </c>
      <c r="F189" s="2" t="s">
        <v>37</v>
      </c>
    </row>
    <row r="190" spans="1:6" ht="12.75">
      <c r="A190" s="5" t="s">
        <v>41</v>
      </c>
      <c r="B190" s="4" t="s">
        <v>77</v>
      </c>
      <c r="C190" s="2" t="s">
        <v>37</v>
      </c>
      <c r="D190" s="9">
        <f>28568517.07-0.07</f>
        <v>28568517</v>
      </c>
      <c r="E190" s="4"/>
      <c r="F190" s="4"/>
    </row>
    <row r="191" spans="1:6" ht="12.75">
      <c r="A191" s="5" t="s">
        <v>41</v>
      </c>
      <c r="B191" s="4" t="s">
        <v>36</v>
      </c>
      <c r="C191" s="2" t="s">
        <v>40</v>
      </c>
      <c r="D191" s="9">
        <f>4614182.55+0.45</f>
        <v>4614183</v>
      </c>
      <c r="E191" s="4"/>
      <c r="F191" s="4"/>
    </row>
    <row r="192" spans="1:6" ht="12.75">
      <c r="A192" s="5" t="s">
        <v>41</v>
      </c>
      <c r="B192" s="4" t="s">
        <v>224</v>
      </c>
      <c r="C192" s="2" t="s">
        <v>37</v>
      </c>
      <c r="D192" s="9">
        <f>2441294.6+0.4</f>
        <v>2441295</v>
      </c>
      <c r="E192" s="4"/>
      <c r="F192" s="4"/>
    </row>
    <row r="193" spans="1:6" ht="12.75">
      <c r="A193" s="5" t="s">
        <v>41</v>
      </c>
      <c r="B193" s="4" t="s">
        <v>223</v>
      </c>
      <c r="C193" s="2" t="s">
        <v>37</v>
      </c>
      <c r="D193" s="9">
        <v>11446330</v>
      </c>
      <c r="E193" s="4"/>
      <c r="F193" s="4"/>
    </row>
    <row r="194" spans="1:6" ht="12.75">
      <c r="A194" s="5" t="s">
        <v>41</v>
      </c>
      <c r="B194" s="4" t="s">
        <v>39</v>
      </c>
      <c r="C194" s="2" t="s">
        <v>37</v>
      </c>
      <c r="D194" s="9">
        <f>12778120.61+0.39</f>
        <v>12778121</v>
      </c>
      <c r="E194" s="4"/>
      <c r="F194" s="4"/>
    </row>
    <row r="195" spans="1:6" ht="12.75">
      <c r="A195" s="5" t="s">
        <v>41</v>
      </c>
      <c r="B195" s="4" t="s">
        <v>225</v>
      </c>
      <c r="C195" s="2" t="s">
        <v>40</v>
      </c>
      <c r="D195" s="9">
        <f>4710756.42-0.42</f>
        <v>4710756</v>
      </c>
      <c r="E195" s="4"/>
      <c r="F195" s="4"/>
    </row>
    <row r="196" spans="1:6" ht="12.75">
      <c r="A196" s="5" t="s">
        <v>41</v>
      </c>
      <c r="B196" s="4" t="s">
        <v>38</v>
      </c>
      <c r="C196" s="2" t="s">
        <v>40</v>
      </c>
      <c r="D196" s="46">
        <v>149175</v>
      </c>
      <c r="E196" s="48">
        <f>(SUM(D192:D194)+SUM(D190))-(SUM(D195:D196)+SUM(D191))</f>
        <v>45760149</v>
      </c>
      <c r="F196" s="2" t="s">
        <v>37</v>
      </c>
    </row>
    <row r="197" spans="3:6" ht="12.75">
      <c r="C197" s="2"/>
      <c r="D197" s="9"/>
      <c r="E197" s="4"/>
      <c r="F197" s="4"/>
    </row>
    <row r="198" spans="2:4" ht="12.75">
      <c r="B198" s="1" t="s">
        <v>328</v>
      </c>
      <c r="C198" s="2"/>
      <c r="D198" s="3"/>
    </row>
    <row r="199" spans="2:4" ht="15">
      <c r="B199" s="10" t="s">
        <v>2</v>
      </c>
      <c r="C199" s="17"/>
      <c r="D199" s="3" t="s">
        <v>3</v>
      </c>
    </row>
    <row r="200" spans="2:4" ht="12.75">
      <c r="B200" s="11"/>
      <c r="C200" s="13"/>
      <c r="D200" s="12" t="s">
        <v>4</v>
      </c>
    </row>
    <row r="201" spans="1:4" ht="12.75">
      <c r="A201" s="5" t="s">
        <v>38</v>
      </c>
      <c r="B201" s="4" t="s">
        <v>94</v>
      </c>
      <c r="C201" s="2"/>
      <c r="D201" s="9">
        <v>35465</v>
      </c>
    </row>
    <row r="202" spans="1:5" ht="12.75">
      <c r="A202" s="5" t="s">
        <v>38</v>
      </c>
      <c r="B202" s="4" t="s">
        <v>95</v>
      </c>
      <c r="C202" s="2"/>
      <c r="D202" s="46">
        <v>2000</v>
      </c>
      <c r="E202" s="14">
        <f>SUM(D201:D202)</f>
        <v>37465</v>
      </c>
    </row>
    <row r="203" spans="1:4" ht="12.75">
      <c r="A203" s="5" t="s">
        <v>77</v>
      </c>
      <c r="B203" s="4" t="s">
        <v>42</v>
      </c>
      <c r="C203" s="2"/>
      <c r="D203" s="9">
        <v>177370</v>
      </c>
    </row>
    <row r="204" spans="1:4" ht="12.75">
      <c r="A204" s="5" t="s">
        <v>77</v>
      </c>
      <c r="B204" s="4" t="s">
        <v>43</v>
      </c>
      <c r="C204" s="2"/>
      <c r="D204" s="9">
        <v>2700</v>
      </c>
    </row>
    <row r="205" spans="1:4" ht="12.75">
      <c r="A205" s="5" t="s">
        <v>77</v>
      </c>
      <c r="B205" s="4" t="s">
        <v>44</v>
      </c>
      <c r="C205" s="2"/>
      <c r="D205" s="9">
        <v>112150</v>
      </c>
    </row>
    <row r="206" spans="1:5" ht="12.75">
      <c r="A206" s="5" t="s">
        <v>77</v>
      </c>
      <c r="B206" s="4" t="s">
        <v>45</v>
      </c>
      <c r="C206" s="2"/>
      <c r="D206" s="46">
        <v>1425</v>
      </c>
      <c r="E206" s="14">
        <f>SUM(D203:D206)</f>
        <v>293645</v>
      </c>
    </row>
    <row r="207" spans="1:4" ht="12.75">
      <c r="A207" s="5" t="s">
        <v>39</v>
      </c>
      <c r="B207" s="4" t="s">
        <v>350</v>
      </c>
      <c r="C207" s="2"/>
      <c r="D207" s="9">
        <v>27000</v>
      </c>
    </row>
    <row r="208" spans="1:6" ht="12.75">
      <c r="A208" s="5" t="s">
        <v>39</v>
      </c>
      <c r="B208" s="16" t="s">
        <v>351</v>
      </c>
      <c r="C208" s="3"/>
      <c r="D208" s="46">
        <v>12000</v>
      </c>
      <c r="E208" s="48">
        <f>SUM(D207:D208)</f>
        <v>39000</v>
      </c>
      <c r="F208" s="4"/>
    </row>
    <row r="209" spans="1:6" ht="12.75">
      <c r="A209" s="5" t="s">
        <v>36</v>
      </c>
      <c r="B209" s="16" t="s">
        <v>407</v>
      </c>
      <c r="C209" s="3"/>
      <c r="D209" s="9">
        <v>5000</v>
      </c>
      <c r="E209" s="4"/>
      <c r="F209" s="4"/>
    </row>
    <row r="210" spans="1:6" ht="12.75">
      <c r="A210" s="5" t="s">
        <v>36</v>
      </c>
      <c r="B210" s="16" t="s">
        <v>408</v>
      </c>
      <c r="C210" s="3"/>
      <c r="D210" s="9">
        <v>10000</v>
      </c>
      <c r="E210" s="4"/>
      <c r="F210" s="4"/>
    </row>
    <row r="211" spans="1:6" ht="12.75">
      <c r="A211" s="5" t="s">
        <v>36</v>
      </c>
      <c r="B211" s="16" t="s">
        <v>409</v>
      </c>
      <c r="C211" s="3"/>
      <c r="D211" s="46">
        <v>6500</v>
      </c>
      <c r="E211" s="48">
        <f>SUM(D209:D211)</f>
        <v>21500</v>
      </c>
      <c r="F211" s="4"/>
    </row>
    <row r="212" spans="1:6" ht="12.75">
      <c r="A212" s="5" t="s">
        <v>41</v>
      </c>
      <c r="B212" s="16" t="s">
        <v>427</v>
      </c>
      <c r="C212" s="3"/>
      <c r="D212" s="9">
        <v>59955</v>
      </c>
      <c r="E212" s="4"/>
      <c r="F212" s="4"/>
    </row>
    <row r="213" spans="1:6" ht="12.75">
      <c r="A213" s="5" t="s">
        <v>41</v>
      </c>
      <c r="B213" s="16" t="s">
        <v>95</v>
      </c>
      <c r="C213" s="3"/>
      <c r="D213" s="46">
        <v>23000</v>
      </c>
      <c r="E213" s="48">
        <f>SUM(D212:D213)</f>
        <v>82955</v>
      </c>
      <c r="F213" s="4"/>
    </row>
    <row r="214" spans="2:6" ht="12.75">
      <c r="B214" s="16"/>
      <c r="C214" s="3"/>
      <c r="D214" s="9"/>
      <c r="E214" s="4"/>
      <c r="F214" s="4"/>
    </row>
    <row r="215" spans="2:6" ht="12.75">
      <c r="B215" s="1" t="s">
        <v>329</v>
      </c>
      <c r="C215" s="2"/>
      <c r="D215" s="45"/>
      <c r="E215" s="4"/>
      <c r="F215" s="4"/>
    </row>
    <row r="216" spans="2:4" ht="15">
      <c r="B216" s="10" t="s">
        <v>2</v>
      </c>
      <c r="C216" s="11"/>
      <c r="D216" s="3" t="s">
        <v>3</v>
      </c>
    </row>
    <row r="217" spans="2:4" ht="12.75">
      <c r="B217" s="11"/>
      <c r="C217" s="13"/>
      <c r="D217" s="12" t="s">
        <v>4</v>
      </c>
    </row>
    <row r="218" spans="1:5" ht="12.75">
      <c r="A218" s="5" t="s">
        <v>38</v>
      </c>
      <c r="B218" s="11" t="s">
        <v>349</v>
      </c>
      <c r="C218" s="13"/>
      <c r="D218" s="47">
        <f>218507.22-0.22</f>
        <v>218507</v>
      </c>
      <c r="E218" s="14">
        <f>D218</f>
        <v>218507</v>
      </c>
    </row>
    <row r="219" spans="1:4" ht="12.75">
      <c r="A219" s="5" t="s">
        <v>77</v>
      </c>
      <c r="B219" s="4" t="s">
        <v>46</v>
      </c>
      <c r="D219" s="9">
        <v>41045</v>
      </c>
    </row>
    <row r="220" spans="1:5" ht="12.75" customHeight="1">
      <c r="A220" s="5" t="s">
        <v>77</v>
      </c>
      <c r="B220" s="4" t="s">
        <v>47</v>
      </c>
      <c r="D220" s="46">
        <f>67931.6+0.4</f>
        <v>67932</v>
      </c>
      <c r="E220" s="14">
        <f>SUM(D219:D220)</f>
        <v>108977</v>
      </c>
    </row>
    <row r="221" spans="1:4" ht="12.75" customHeight="1">
      <c r="A221" s="5" t="s">
        <v>39</v>
      </c>
      <c r="B221" s="4" t="s">
        <v>46</v>
      </c>
      <c r="D221" s="9">
        <v>2600</v>
      </c>
    </row>
    <row r="222" spans="1:4" ht="12.75" customHeight="1">
      <c r="A222" s="5" t="s">
        <v>39</v>
      </c>
      <c r="B222" s="4" t="s">
        <v>677</v>
      </c>
      <c r="D222" s="9">
        <v>4500</v>
      </c>
    </row>
    <row r="223" spans="1:4" ht="12.75" customHeight="1">
      <c r="A223" s="5" t="s">
        <v>39</v>
      </c>
      <c r="B223" s="4" t="s">
        <v>47</v>
      </c>
      <c r="D223" s="9">
        <v>202769</v>
      </c>
    </row>
    <row r="224" spans="1:5" ht="12.75" customHeight="1">
      <c r="A224" s="5" t="s">
        <v>39</v>
      </c>
      <c r="B224" s="4" t="s">
        <v>349</v>
      </c>
      <c r="D224" s="46">
        <v>158</v>
      </c>
      <c r="E224" s="14">
        <f>SUM(D221:D224)</f>
        <v>210027</v>
      </c>
    </row>
    <row r="225" spans="1:5" ht="12.75" customHeight="1">
      <c r="A225" s="5" t="s">
        <v>41</v>
      </c>
      <c r="B225" s="4" t="s">
        <v>47</v>
      </c>
      <c r="D225" s="9">
        <f>3732279.3-0.3</f>
        <v>3732279</v>
      </c>
      <c r="E225" s="14"/>
    </row>
    <row r="226" spans="1:6" ht="12.75" customHeight="1">
      <c r="A226" s="5" t="s">
        <v>41</v>
      </c>
      <c r="B226" s="16" t="s">
        <v>349</v>
      </c>
      <c r="C226" s="16"/>
      <c r="D226" s="47">
        <v>661</v>
      </c>
      <c r="E226" s="18">
        <f>SUM(D225:D226)</f>
        <v>3732940</v>
      </c>
      <c r="F226" s="16"/>
    </row>
    <row r="227" spans="2:6" ht="12.75" customHeight="1">
      <c r="B227" s="16"/>
      <c r="C227" s="16"/>
      <c r="D227" s="18"/>
      <c r="E227" s="16"/>
      <c r="F227" s="16"/>
    </row>
    <row r="228" spans="2:4" ht="12.75">
      <c r="B228" s="1" t="s">
        <v>330</v>
      </c>
      <c r="C228" s="2"/>
      <c r="D228" s="3"/>
    </row>
    <row r="229" spans="2:4" ht="15">
      <c r="B229" s="10" t="s">
        <v>2</v>
      </c>
      <c r="C229" s="11"/>
      <c r="D229" s="3" t="s">
        <v>3</v>
      </c>
    </row>
    <row r="230" spans="2:4" ht="12.75">
      <c r="B230" s="11"/>
      <c r="C230" s="13"/>
      <c r="D230" s="12" t="s">
        <v>4</v>
      </c>
    </row>
    <row r="231" spans="1:4" ht="12.75">
      <c r="A231" s="5" t="s">
        <v>38</v>
      </c>
      <c r="B231" s="4" t="s">
        <v>206</v>
      </c>
      <c r="D231" s="9">
        <f>4196329.9+0.1</f>
        <v>4196330</v>
      </c>
    </row>
    <row r="232" spans="1:4" ht="12.75">
      <c r="A232" s="5" t="s">
        <v>38</v>
      </c>
      <c r="B232" s="4" t="s">
        <v>207</v>
      </c>
      <c r="D232" s="9">
        <f>2049.85+0.15</f>
        <v>2050</v>
      </c>
    </row>
    <row r="233" spans="1:5" ht="12.75">
      <c r="A233" s="5" t="s">
        <v>38</v>
      </c>
      <c r="B233" s="4" t="s">
        <v>208</v>
      </c>
      <c r="D233" s="46">
        <f>18193.4-0.4</f>
        <v>18193</v>
      </c>
      <c r="E233" s="14">
        <f>SUM(D231:D233)</f>
        <v>4216573</v>
      </c>
    </row>
    <row r="234" spans="1:4" ht="12.75">
      <c r="A234" s="5" t="s">
        <v>77</v>
      </c>
      <c r="B234" s="4" t="s">
        <v>48</v>
      </c>
      <c r="D234" s="9">
        <f>3003.14-0.14</f>
        <v>3003</v>
      </c>
    </row>
    <row r="235" spans="1:4" ht="12.75">
      <c r="A235" s="5" t="s">
        <v>77</v>
      </c>
      <c r="B235" s="4" t="s">
        <v>49</v>
      </c>
      <c r="D235" s="9">
        <v>304404</v>
      </c>
    </row>
    <row r="236" spans="1:4" ht="12.75">
      <c r="A236" s="5" t="s">
        <v>77</v>
      </c>
      <c r="B236" s="4" t="s">
        <v>50</v>
      </c>
      <c r="D236" s="9">
        <v>113607</v>
      </c>
    </row>
    <row r="237" spans="1:4" ht="12.75">
      <c r="A237" s="5" t="s">
        <v>77</v>
      </c>
      <c r="B237" s="4" t="s">
        <v>51</v>
      </c>
      <c r="D237" s="9">
        <f>370326.1-0.1</f>
        <v>370326</v>
      </c>
    </row>
    <row r="238" spans="1:4" ht="12.75">
      <c r="A238" s="5" t="s">
        <v>77</v>
      </c>
      <c r="B238" s="4" t="s">
        <v>52</v>
      </c>
      <c r="D238" s="9">
        <f>741459.6+0.4</f>
        <v>741460</v>
      </c>
    </row>
    <row r="239" spans="1:4" ht="12.75">
      <c r="A239" s="5" t="s">
        <v>77</v>
      </c>
      <c r="B239" s="4" t="s">
        <v>53</v>
      </c>
      <c r="D239" s="9">
        <v>11757</v>
      </c>
    </row>
    <row r="240" spans="1:4" ht="12.75">
      <c r="A240" s="5" t="s">
        <v>77</v>
      </c>
      <c r="B240" s="4" t="s">
        <v>54</v>
      </c>
      <c r="D240" s="9">
        <f>14969.25-0.25</f>
        <v>14969</v>
      </c>
    </row>
    <row r="241" spans="1:4" ht="12.75">
      <c r="A241" s="5" t="s">
        <v>77</v>
      </c>
      <c r="B241" s="4" t="s">
        <v>55</v>
      </c>
      <c r="D241" s="9">
        <f>34859.5+0.5</f>
        <v>34860</v>
      </c>
    </row>
    <row r="242" spans="1:4" ht="12.75">
      <c r="A242" s="5" t="s">
        <v>77</v>
      </c>
      <c r="B242" s="4" t="s">
        <v>56</v>
      </c>
      <c r="D242" s="6">
        <f>23259.04-0.04</f>
        <v>23259</v>
      </c>
    </row>
    <row r="243" spans="1:5" ht="12.75">
      <c r="A243" s="5" t="s">
        <v>77</v>
      </c>
      <c r="B243" s="4" t="s">
        <v>57</v>
      </c>
      <c r="D243" s="46">
        <v>10334</v>
      </c>
      <c r="E243" s="14">
        <f>SUM(D234:D243)</f>
        <v>1627979</v>
      </c>
    </row>
    <row r="244" spans="1:5" ht="12.75">
      <c r="A244" s="5" t="s">
        <v>217</v>
      </c>
      <c r="B244" s="4" t="s">
        <v>207</v>
      </c>
      <c r="D244" s="49">
        <f>231077.74+0.26</f>
        <v>231078</v>
      </c>
      <c r="E244" s="14">
        <f>D244</f>
        <v>231078</v>
      </c>
    </row>
    <row r="245" spans="1:5" ht="12.75">
      <c r="A245" s="5" t="s">
        <v>248</v>
      </c>
      <c r="B245" s="4" t="s">
        <v>48</v>
      </c>
      <c r="D245" s="9">
        <f>4500.3-0.3</f>
        <v>4500</v>
      </c>
      <c r="E245" s="14"/>
    </row>
    <row r="246" spans="1:5" ht="12.75">
      <c r="A246" s="5" t="s">
        <v>248</v>
      </c>
      <c r="B246" s="4" t="s">
        <v>251</v>
      </c>
      <c r="D246" s="46">
        <f>217453.91+0.09</f>
        <v>217454</v>
      </c>
      <c r="E246" s="14">
        <f>SUM(D245:D246)</f>
        <v>221954</v>
      </c>
    </row>
    <row r="247" spans="1:5" ht="12.75">
      <c r="A247" s="5" t="s">
        <v>275</v>
      </c>
      <c r="B247" s="4" t="s">
        <v>48</v>
      </c>
      <c r="D247" s="9">
        <f>3271.34-0.34</f>
        <v>3271</v>
      </c>
      <c r="E247" s="14"/>
    </row>
    <row r="248" spans="1:5" ht="12.75">
      <c r="A248" s="5" t="s">
        <v>275</v>
      </c>
      <c r="B248" s="4" t="s">
        <v>277</v>
      </c>
      <c r="D248" s="46">
        <f>492415.58+0.42</f>
        <v>492416</v>
      </c>
      <c r="E248" s="14">
        <f>SUM(D247:D248)</f>
        <v>495687</v>
      </c>
    </row>
    <row r="249" spans="1:5" ht="12.75">
      <c r="A249" s="5" t="s">
        <v>39</v>
      </c>
      <c r="B249" s="4" t="s">
        <v>48</v>
      </c>
      <c r="D249" s="9">
        <f>1610.5+0.5</f>
        <v>1611</v>
      </c>
      <c r="E249" s="14"/>
    </row>
    <row r="250" spans="1:5" ht="12.75">
      <c r="A250" s="5" t="s">
        <v>39</v>
      </c>
      <c r="B250" s="4" t="s">
        <v>49</v>
      </c>
      <c r="D250" s="9">
        <v>1055010</v>
      </c>
      <c r="E250" s="14"/>
    </row>
    <row r="251" spans="1:5" ht="12.75">
      <c r="A251" s="5" t="s">
        <v>39</v>
      </c>
      <c r="B251" s="4" t="s">
        <v>373</v>
      </c>
      <c r="D251" s="9">
        <f>226332.25-0.25</f>
        <v>226332</v>
      </c>
      <c r="E251" s="14"/>
    </row>
    <row r="252" spans="1:5" ht="12.75">
      <c r="A252" s="5" t="s">
        <v>39</v>
      </c>
      <c r="B252" s="4" t="s">
        <v>374</v>
      </c>
      <c r="D252" s="9">
        <f>2543750.02-0.02</f>
        <v>2543750</v>
      </c>
      <c r="E252" s="14"/>
    </row>
    <row r="253" spans="1:5" ht="12.75">
      <c r="A253" s="5" t="s">
        <v>39</v>
      </c>
      <c r="B253" s="4" t="s">
        <v>375</v>
      </c>
      <c r="D253" s="46">
        <f>1385331.38-0.38</f>
        <v>1385331</v>
      </c>
      <c r="E253" s="14">
        <f>SUM(D249:D253)</f>
        <v>5212034</v>
      </c>
    </row>
    <row r="254" spans="1:5" ht="12.75">
      <c r="A254" s="5" t="s">
        <v>36</v>
      </c>
      <c r="B254" s="4" t="s">
        <v>402</v>
      </c>
      <c r="D254" s="9">
        <f>36009.72+0.28</f>
        <v>36010</v>
      </c>
      <c r="E254" s="14"/>
    </row>
    <row r="255" spans="1:5" ht="12.75">
      <c r="A255" s="5" t="s">
        <v>36</v>
      </c>
      <c r="B255" s="4" t="s">
        <v>403</v>
      </c>
      <c r="D255" s="46">
        <f>151672.9+0.1</f>
        <v>151673</v>
      </c>
      <c r="E255" s="14">
        <f>SUM(D254:D255)</f>
        <v>187683</v>
      </c>
    </row>
    <row r="256" spans="1:5" ht="12.75">
      <c r="A256" s="5" t="s">
        <v>41</v>
      </c>
      <c r="B256" s="4" t="s">
        <v>48</v>
      </c>
      <c r="D256" s="9">
        <f>312.67+0.33</f>
        <v>313</v>
      </c>
      <c r="E256" s="14"/>
    </row>
    <row r="257" spans="1:6" ht="12.75">
      <c r="A257" s="5" t="s">
        <v>41</v>
      </c>
      <c r="B257" s="4" t="s">
        <v>49</v>
      </c>
      <c r="D257" s="9">
        <v>4284860</v>
      </c>
      <c r="E257" s="48"/>
      <c r="F257" s="4"/>
    </row>
    <row r="258" spans="1:6" ht="12.75">
      <c r="A258" s="5" t="s">
        <v>41</v>
      </c>
      <c r="B258" s="4" t="s">
        <v>428</v>
      </c>
      <c r="D258" s="9">
        <f>33325.52+0.48</f>
        <v>33326</v>
      </c>
      <c r="E258" s="4"/>
      <c r="F258" s="4"/>
    </row>
    <row r="259" spans="1:6" ht="12.75">
      <c r="A259" s="5" t="s">
        <v>41</v>
      </c>
      <c r="B259" s="4" t="s">
        <v>429</v>
      </c>
      <c r="D259" s="9">
        <f>(420963.09-1000)-0.09</f>
        <v>419963</v>
      </c>
      <c r="E259" s="4"/>
      <c r="F259" s="4"/>
    </row>
    <row r="260" spans="1:6" ht="12.75">
      <c r="A260" s="5" t="s">
        <v>41</v>
      </c>
      <c r="B260" s="4" t="s">
        <v>430</v>
      </c>
      <c r="D260" s="9">
        <v>1079148</v>
      </c>
      <c r="E260" s="4"/>
      <c r="F260" s="4"/>
    </row>
    <row r="261" spans="1:6" ht="12.75">
      <c r="A261" s="5" t="s">
        <v>41</v>
      </c>
      <c r="B261" s="4" t="s">
        <v>431</v>
      </c>
      <c r="D261" s="46">
        <f>20562.1-0.1</f>
        <v>20562</v>
      </c>
      <c r="E261" s="48">
        <f>SUM(D256:D261)</f>
        <v>5838172</v>
      </c>
      <c r="F261" s="4"/>
    </row>
    <row r="262" spans="4:6" ht="12.75">
      <c r="D262" s="9"/>
      <c r="E262" s="4"/>
      <c r="F262" s="4"/>
    </row>
    <row r="263" ht="12.75"/>
    <row r="264" ht="12.75"/>
    <row r="265" ht="12.75"/>
    <row r="266" ht="12.75"/>
    <row r="267" ht="12.75"/>
    <row r="268" ht="12.75">
      <c r="D268" s="9"/>
    </row>
    <row r="269" spans="2:4" ht="12.75">
      <c r="B269" s="1" t="s">
        <v>331</v>
      </c>
      <c r="C269" s="2"/>
      <c r="D269" s="45"/>
    </row>
    <row r="270" spans="2:4" ht="15">
      <c r="B270" s="10" t="s">
        <v>2</v>
      </c>
      <c r="C270" s="11"/>
      <c r="D270" s="3" t="s">
        <v>3</v>
      </c>
    </row>
    <row r="271" spans="2:4" ht="12.75">
      <c r="B271" s="11"/>
      <c r="C271" s="13"/>
      <c r="D271" s="12" t="s">
        <v>4</v>
      </c>
    </row>
    <row r="272" spans="1:4" ht="12.75">
      <c r="A272" s="5" t="s">
        <v>77</v>
      </c>
      <c r="B272" s="4" t="s">
        <v>58</v>
      </c>
      <c r="D272" s="9">
        <v>39029</v>
      </c>
    </row>
    <row r="273" spans="1:4" ht="12.75">
      <c r="A273" s="5" t="s">
        <v>77</v>
      </c>
      <c r="B273" s="4" t="s">
        <v>59</v>
      </c>
      <c r="D273" s="9">
        <v>41329</v>
      </c>
    </row>
    <row r="274" spans="1:4" ht="12.75">
      <c r="A274" s="5" t="s">
        <v>77</v>
      </c>
      <c r="B274" s="4" t="s">
        <v>60</v>
      </c>
      <c r="D274" s="9">
        <v>7289</v>
      </c>
    </row>
    <row r="275" spans="1:5" ht="12.75">
      <c r="A275" s="5" t="s">
        <v>77</v>
      </c>
      <c r="B275" s="4" t="s">
        <v>61</v>
      </c>
      <c r="D275" s="46">
        <v>39297</v>
      </c>
      <c r="E275" s="14">
        <f>SUM(D272:D275)</f>
        <v>126944</v>
      </c>
    </row>
    <row r="276" spans="1:5" ht="12.75">
      <c r="A276" s="5" t="s">
        <v>217</v>
      </c>
      <c r="B276" s="4" t="s">
        <v>227</v>
      </c>
      <c r="D276" s="49">
        <v>3419</v>
      </c>
      <c r="E276" s="14">
        <f>D276</f>
        <v>3419</v>
      </c>
    </row>
    <row r="277" spans="1:5" ht="12.75">
      <c r="A277" s="5" t="s">
        <v>248</v>
      </c>
      <c r="B277" s="4" t="s">
        <v>227</v>
      </c>
      <c r="D277" s="49">
        <v>32763</v>
      </c>
      <c r="E277" s="14">
        <f>D277</f>
        <v>32763</v>
      </c>
    </row>
    <row r="278" spans="1:5" ht="12.75">
      <c r="A278" s="5" t="s">
        <v>275</v>
      </c>
      <c r="B278" s="4" t="s">
        <v>58</v>
      </c>
      <c r="D278" s="9">
        <v>210015</v>
      </c>
      <c r="E278" s="14"/>
    </row>
    <row r="279" spans="1:5" ht="12.75">
      <c r="A279" s="5" t="s">
        <v>275</v>
      </c>
      <c r="B279" s="4" t="s">
        <v>276</v>
      </c>
      <c r="D279" s="46">
        <v>27150</v>
      </c>
      <c r="E279" s="14">
        <f>SUM(D278:D279)</f>
        <v>237165</v>
      </c>
    </row>
    <row r="280" spans="1:5" ht="12.75">
      <c r="A280" s="5" t="s">
        <v>39</v>
      </c>
      <c r="B280" s="4" t="s">
        <v>352</v>
      </c>
      <c r="D280" s="9">
        <v>16730</v>
      </c>
      <c r="E280" s="14"/>
    </row>
    <row r="281" spans="1:5" ht="12.75">
      <c r="A281" s="5" t="s">
        <v>39</v>
      </c>
      <c r="B281" s="4" t="s">
        <v>58</v>
      </c>
      <c r="D281" s="9">
        <v>167430</v>
      </c>
      <c r="E281" s="14"/>
    </row>
    <row r="282" spans="1:5" ht="12.75">
      <c r="A282" s="5" t="s">
        <v>39</v>
      </c>
      <c r="B282" s="4" t="s">
        <v>353</v>
      </c>
      <c r="D282" s="9">
        <v>157500</v>
      </c>
      <c r="E282" s="14"/>
    </row>
    <row r="283" spans="1:5" ht="12.75">
      <c r="A283" s="5" t="s">
        <v>39</v>
      </c>
      <c r="B283" s="4" t="s">
        <v>60</v>
      </c>
      <c r="D283" s="46">
        <v>27001</v>
      </c>
      <c r="E283" s="14">
        <f>SUM(D280:D283)</f>
        <v>368661</v>
      </c>
    </row>
    <row r="284" spans="1:5" ht="12.75">
      <c r="A284" s="5" t="s">
        <v>36</v>
      </c>
      <c r="B284" s="4" t="s">
        <v>352</v>
      </c>
      <c r="D284" s="9">
        <v>4972</v>
      </c>
      <c r="E284" s="14"/>
    </row>
    <row r="285" spans="1:5" ht="12.75">
      <c r="A285" s="5" t="s">
        <v>36</v>
      </c>
      <c r="B285" s="4" t="s">
        <v>58</v>
      </c>
      <c r="D285" s="46">
        <v>9673</v>
      </c>
      <c r="E285" s="14">
        <f>SUM(D284:D285)</f>
        <v>14645</v>
      </c>
    </row>
    <row r="286" spans="1:5" ht="12.75">
      <c r="A286" s="5" t="s">
        <v>41</v>
      </c>
      <c r="B286" s="4" t="s">
        <v>352</v>
      </c>
      <c r="D286" s="9">
        <v>13240</v>
      </c>
      <c r="E286" s="14"/>
    </row>
    <row r="287" spans="1:5" ht="12.75">
      <c r="A287" s="5" t="s">
        <v>41</v>
      </c>
      <c r="B287" s="4" t="s">
        <v>58</v>
      </c>
      <c r="D287" s="9">
        <v>31806</v>
      </c>
      <c r="E287" s="14"/>
    </row>
    <row r="288" spans="1:5" ht="12.75">
      <c r="A288" s="5" t="s">
        <v>41</v>
      </c>
      <c r="B288" s="4" t="s">
        <v>353</v>
      </c>
      <c r="D288" s="9">
        <v>100000</v>
      </c>
      <c r="E288" s="14"/>
    </row>
    <row r="289" spans="1:5" ht="12.75">
      <c r="A289" s="5" t="s">
        <v>41</v>
      </c>
      <c r="B289" s="4" t="s">
        <v>60</v>
      </c>
      <c r="D289" s="46">
        <v>32400</v>
      </c>
      <c r="E289" s="14">
        <f>SUM(D286:D289)</f>
        <v>177446</v>
      </c>
    </row>
    <row r="290" spans="2:4" ht="12.75">
      <c r="B290" s="7"/>
      <c r="D290" s="9"/>
    </row>
    <row r="291" spans="2:4" ht="12.75">
      <c r="B291" s="1" t="s">
        <v>721</v>
      </c>
      <c r="C291" s="2"/>
      <c r="D291" s="3"/>
    </row>
    <row r="292" spans="2:4" ht="15">
      <c r="B292" s="10" t="s">
        <v>2</v>
      </c>
      <c r="C292" s="11"/>
      <c r="D292" s="3" t="s">
        <v>3</v>
      </c>
    </row>
    <row r="293" spans="2:4" ht="12.75">
      <c r="B293" s="11"/>
      <c r="C293" s="13"/>
      <c r="D293" s="12" t="s">
        <v>4</v>
      </c>
    </row>
    <row r="294" spans="1:4" ht="12.75">
      <c r="A294" s="5" t="s">
        <v>38</v>
      </c>
      <c r="B294" s="4" t="s">
        <v>89</v>
      </c>
      <c r="D294" s="9">
        <v>8265</v>
      </c>
    </row>
    <row r="295" spans="1:5" ht="12.75">
      <c r="A295" s="5" t="s">
        <v>38</v>
      </c>
      <c r="B295" s="4" t="s">
        <v>90</v>
      </c>
      <c r="D295" s="46">
        <v>45935</v>
      </c>
      <c r="E295" s="14">
        <f>SUM(D294:D295)</f>
        <v>54200</v>
      </c>
    </row>
    <row r="296" spans="1:5" ht="12.75">
      <c r="A296" s="5" t="s">
        <v>77</v>
      </c>
      <c r="B296" s="4" t="s">
        <v>89</v>
      </c>
      <c r="D296" s="49">
        <v>5510</v>
      </c>
      <c r="E296" s="14">
        <f>D296</f>
        <v>5510</v>
      </c>
    </row>
    <row r="297" spans="1:5" ht="12.75">
      <c r="A297" s="5" t="s">
        <v>217</v>
      </c>
      <c r="B297" s="4" t="s">
        <v>89</v>
      </c>
      <c r="D297" s="49">
        <v>2755</v>
      </c>
      <c r="E297" s="14">
        <f>D297</f>
        <v>2755</v>
      </c>
    </row>
    <row r="298" spans="1:5" ht="12.75">
      <c r="A298" s="5" t="s">
        <v>248</v>
      </c>
      <c r="B298" s="4" t="s">
        <v>89</v>
      </c>
      <c r="D298" s="49">
        <v>2755</v>
      </c>
      <c r="E298" s="14">
        <f>D298</f>
        <v>2755</v>
      </c>
    </row>
    <row r="299" spans="1:5" ht="12.75">
      <c r="A299" s="5" t="s">
        <v>275</v>
      </c>
      <c r="B299" s="4" t="s">
        <v>89</v>
      </c>
      <c r="D299" s="49">
        <v>2755</v>
      </c>
      <c r="E299" s="14">
        <f>D299</f>
        <v>2755</v>
      </c>
    </row>
    <row r="300" spans="1:5" ht="12.75">
      <c r="A300" s="5" t="s">
        <v>39</v>
      </c>
      <c r="B300" s="4" t="s">
        <v>89</v>
      </c>
      <c r="D300" s="49">
        <v>5510</v>
      </c>
      <c r="E300" s="14">
        <f>D300</f>
        <v>5510</v>
      </c>
    </row>
    <row r="301" spans="1:4" ht="12.75">
      <c r="A301" s="5" t="s">
        <v>36</v>
      </c>
      <c r="B301" s="4" t="s">
        <v>399</v>
      </c>
      <c r="D301" s="9">
        <v>1667</v>
      </c>
    </row>
    <row r="302" spans="1:5" ht="12.75">
      <c r="A302" s="5" t="s">
        <v>36</v>
      </c>
      <c r="B302" s="4" t="s">
        <v>89</v>
      </c>
      <c r="D302" s="46">
        <v>2755</v>
      </c>
      <c r="E302" s="14">
        <f>SUM(D301:D302)</f>
        <v>4422</v>
      </c>
    </row>
    <row r="303" spans="1:5" ht="12.75">
      <c r="A303" s="5" t="s">
        <v>41</v>
      </c>
      <c r="B303" s="4" t="s">
        <v>89</v>
      </c>
      <c r="D303" s="49">
        <v>5510</v>
      </c>
      <c r="E303" s="14">
        <f>D303</f>
        <v>5510</v>
      </c>
    </row>
    <row r="304" spans="2:4" ht="12.75">
      <c r="B304" s="7"/>
      <c r="D304" s="9"/>
    </row>
    <row r="305" spans="2:4" ht="12.75">
      <c r="B305" s="1" t="s">
        <v>452</v>
      </c>
      <c r="C305" s="2"/>
      <c r="D305" s="3"/>
    </row>
    <row r="306" spans="2:4" ht="15">
      <c r="B306" s="10" t="s">
        <v>2</v>
      </c>
      <c r="C306" s="11"/>
      <c r="D306" s="3" t="s">
        <v>3</v>
      </c>
    </row>
    <row r="307" spans="2:4" ht="12.75">
      <c r="B307" s="11"/>
      <c r="C307" s="13"/>
      <c r="D307" s="12" t="s">
        <v>4</v>
      </c>
    </row>
    <row r="308" spans="1:5" ht="12.75">
      <c r="A308" s="5" t="s">
        <v>77</v>
      </c>
      <c r="B308" s="4" t="s">
        <v>160</v>
      </c>
      <c r="D308" s="46">
        <f>689331.53+0.47</f>
        <v>689332</v>
      </c>
      <c r="E308" s="14">
        <f>D308</f>
        <v>689332</v>
      </c>
    </row>
    <row r="309" spans="1:5" ht="12.75">
      <c r="A309" s="5" t="s">
        <v>39</v>
      </c>
      <c r="B309" s="4" t="s">
        <v>160</v>
      </c>
      <c r="D309" s="46">
        <f>4838749.86+0.14</f>
        <v>4838750</v>
      </c>
      <c r="E309" s="14">
        <f>D309</f>
        <v>4838750</v>
      </c>
    </row>
    <row r="310" spans="1:5" ht="12.75">
      <c r="A310" s="5" t="s">
        <v>41</v>
      </c>
      <c r="B310" s="4" t="s">
        <v>462</v>
      </c>
      <c r="D310" s="46">
        <f>1056243.41-0.41</f>
        <v>1056243</v>
      </c>
      <c r="E310" s="14">
        <f>D310</f>
        <v>1056243</v>
      </c>
    </row>
    <row r="311" spans="2:4" ht="12.75">
      <c r="B311" s="7"/>
      <c r="D311" s="9"/>
    </row>
    <row r="312" spans="2:4" ht="12.75">
      <c r="B312" s="1" t="s">
        <v>332</v>
      </c>
      <c r="C312" s="2"/>
      <c r="D312" s="3"/>
    </row>
    <row r="313" spans="2:4" ht="15">
      <c r="B313" s="10" t="s">
        <v>2</v>
      </c>
      <c r="C313" s="154" t="s">
        <v>3</v>
      </c>
      <c r="D313" s="154"/>
    </row>
    <row r="314" spans="2:4" ht="12.75">
      <c r="B314" s="3"/>
      <c r="C314" s="154" t="s">
        <v>4</v>
      </c>
      <c r="D314" s="154"/>
    </row>
    <row r="315" spans="1:4" ht="12.75">
      <c r="A315" s="5" t="s">
        <v>38</v>
      </c>
      <c r="B315" s="4" t="s">
        <v>79</v>
      </c>
      <c r="C315" s="2" t="s">
        <v>37</v>
      </c>
      <c r="D315" s="9">
        <v>14000</v>
      </c>
    </row>
    <row r="316" spans="1:4" ht="12.75">
      <c r="A316" s="5" t="s">
        <v>38</v>
      </c>
      <c r="B316" s="4" t="s">
        <v>80</v>
      </c>
      <c r="C316" s="2" t="s">
        <v>37</v>
      </c>
      <c r="D316" s="9">
        <v>11000</v>
      </c>
    </row>
    <row r="317" spans="1:4" ht="12.75">
      <c r="A317" s="5" t="s">
        <v>38</v>
      </c>
      <c r="B317" s="4" t="s">
        <v>81</v>
      </c>
      <c r="C317" s="2" t="s">
        <v>37</v>
      </c>
      <c r="D317" s="9">
        <v>6375</v>
      </c>
    </row>
    <row r="318" spans="1:4" ht="12.75">
      <c r="A318" s="5" t="s">
        <v>38</v>
      </c>
      <c r="B318" s="4" t="s">
        <v>82</v>
      </c>
      <c r="C318" s="2" t="s">
        <v>37</v>
      </c>
      <c r="D318" s="9">
        <v>18500</v>
      </c>
    </row>
    <row r="319" spans="1:4" ht="12.75">
      <c r="A319" s="5" t="s">
        <v>38</v>
      </c>
      <c r="B319" s="4" t="s">
        <v>83</v>
      </c>
      <c r="C319" s="2" t="s">
        <v>37</v>
      </c>
      <c r="D319" s="9">
        <v>11500</v>
      </c>
    </row>
    <row r="320" spans="1:4" ht="12.75">
      <c r="A320" s="5" t="s">
        <v>38</v>
      </c>
      <c r="B320" s="4" t="s">
        <v>84</v>
      </c>
      <c r="C320" s="2" t="s">
        <v>37</v>
      </c>
      <c r="D320" s="9">
        <v>10000</v>
      </c>
    </row>
    <row r="321" spans="1:4" ht="12.75">
      <c r="A321" s="5" t="s">
        <v>38</v>
      </c>
      <c r="B321" s="4" t="s">
        <v>85</v>
      </c>
      <c r="C321" s="2" t="s">
        <v>37</v>
      </c>
      <c r="D321" s="9">
        <v>4570</v>
      </c>
    </row>
    <row r="322" spans="1:4" ht="12.75">
      <c r="A322" s="5" t="s">
        <v>38</v>
      </c>
      <c r="B322" s="4" t="s">
        <v>86</v>
      </c>
      <c r="C322" s="2" t="s">
        <v>37</v>
      </c>
      <c r="D322" s="9">
        <v>11000</v>
      </c>
    </row>
    <row r="323" spans="1:4" ht="12.75">
      <c r="A323" s="5" t="s">
        <v>38</v>
      </c>
      <c r="B323" s="4" t="s">
        <v>87</v>
      </c>
      <c r="C323" s="2" t="s">
        <v>37</v>
      </c>
      <c r="D323" s="9">
        <v>4000</v>
      </c>
    </row>
    <row r="324" spans="1:5" ht="12.75">
      <c r="A324" s="5" t="s">
        <v>38</v>
      </c>
      <c r="B324" s="4" t="s">
        <v>88</v>
      </c>
      <c r="C324" s="2" t="s">
        <v>37</v>
      </c>
      <c r="D324" s="46">
        <v>10000</v>
      </c>
      <c r="E324" s="9">
        <f>SUM(D315:D324)</f>
        <v>100945</v>
      </c>
    </row>
    <row r="325" spans="2:5" ht="12.75">
      <c r="B325" s="7"/>
      <c r="D325" s="9"/>
      <c r="E325" s="9"/>
    </row>
    <row r="326" spans="2:5" ht="12.75">
      <c r="B326" s="1" t="s">
        <v>354</v>
      </c>
      <c r="C326" s="2"/>
      <c r="D326" s="3"/>
      <c r="E326" s="9"/>
    </row>
    <row r="327" spans="2:5" ht="15">
      <c r="B327" s="10" t="s">
        <v>2</v>
      </c>
      <c r="C327" s="154" t="s">
        <v>3</v>
      </c>
      <c r="D327" s="154"/>
      <c r="E327" s="9"/>
    </row>
    <row r="328" spans="2:4" ht="12.75">
      <c r="B328" s="3"/>
      <c r="C328" s="154" t="s">
        <v>4</v>
      </c>
      <c r="D328" s="154"/>
    </row>
    <row r="329" spans="1:6" ht="12.75">
      <c r="A329" s="11" t="s">
        <v>38</v>
      </c>
      <c r="B329" s="16" t="s">
        <v>98</v>
      </c>
      <c r="C329" s="17" t="s">
        <v>40</v>
      </c>
      <c r="D329" s="47">
        <v>1000</v>
      </c>
      <c r="E329" s="14">
        <f>SUM(D329:D329)</f>
        <v>1000</v>
      </c>
      <c r="F329" s="2" t="s">
        <v>40</v>
      </c>
    </row>
    <row r="330" spans="1:6" ht="12.75">
      <c r="A330" s="5" t="s">
        <v>77</v>
      </c>
      <c r="B330" s="4" t="s">
        <v>62</v>
      </c>
      <c r="C330" s="2" t="s">
        <v>40</v>
      </c>
      <c r="D330" s="9">
        <v>3000</v>
      </c>
      <c r="E330" s="9"/>
      <c r="F330" s="9"/>
    </row>
    <row r="331" spans="1:6" ht="12.75">
      <c r="A331" s="5" t="s">
        <v>77</v>
      </c>
      <c r="B331" s="4" t="s">
        <v>63</v>
      </c>
      <c r="C331" s="2" t="s">
        <v>40</v>
      </c>
      <c r="D331" s="9">
        <v>66206</v>
      </c>
      <c r="E331" s="9"/>
      <c r="F331" s="9"/>
    </row>
    <row r="332" spans="1:6" ht="12.75">
      <c r="A332" s="5" t="s">
        <v>77</v>
      </c>
      <c r="B332" s="4" t="s">
        <v>64</v>
      </c>
      <c r="C332" s="2" t="s">
        <v>40</v>
      </c>
      <c r="D332" s="9">
        <v>500</v>
      </c>
      <c r="E332" s="9"/>
      <c r="F332" s="9"/>
    </row>
    <row r="333" spans="1:6" ht="12.75">
      <c r="A333" s="5" t="s">
        <v>77</v>
      </c>
      <c r="B333" s="4" t="s">
        <v>65</v>
      </c>
      <c r="C333" s="2" t="s">
        <v>37</v>
      </c>
      <c r="D333" s="9">
        <v>500</v>
      </c>
      <c r="E333" s="9"/>
      <c r="F333" s="9"/>
    </row>
    <row r="334" spans="1:6" ht="12.75">
      <c r="A334" s="5" t="s">
        <v>77</v>
      </c>
      <c r="B334" s="4" t="s">
        <v>66</v>
      </c>
      <c r="C334" s="2" t="s">
        <v>40</v>
      </c>
      <c r="D334" s="9">
        <v>1500</v>
      </c>
      <c r="E334" s="9"/>
      <c r="F334" s="9"/>
    </row>
    <row r="335" spans="1:6" ht="12.75">
      <c r="A335" s="5" t="s">
        <v>77</v>
      </c>
      <c r="B335" s="4" t="s">
        <v>67</v>
      </c>
      <c r="C335" s="2" t="s">
        <v>40</v>
      </c>
      <c r="D335" s="9">
        <v>52000</v>
      </c>
      <c r="E335" s="9"/>
      <c r="F335" s="9"/>
    </row>
    <row r="336" spans="1:6" ht="12.75">
      <c r="A336" s="5" t="s">
        <v>77</v>
      </c>
      <c r="B336" s="4" t="s">
        <v>68</v>
      </c>
      <c r="C336" s="2" t="s">
        <v>40</v>
      </c>
      <c r="D336" s="9">
        <v>1024</v>
      </c>
      <c r="E336" s="9"/>
      <c r="F336" s="9"/>
    </row>
    <row r="337" spans="1:6" ht="12.75">
      <c r="A337" s="5" t="s">
        <v>77</v>
      </c>
      <c r="B337" s="4" t="s">
        <v>69</v>
      </c>
      <c r="C337" s="2" t="s">
        <v>40</v>
      </c>
      <c r="D337" s="46">
        <v>10000</v>
      </c>
      <c r="E337" s="9">
        <f>SUM(D330:D337)</f>
        <v>134730</v>
      </c>
      <c r="F337" s="13" t="s">
        <v>40</v>
      </c>
    </row>
    <row r="338" spans="1:6" ht="12.75">
      <c r="A338" s="5" t="s">
        <v>275</v>
      </c>
      <c r="B338" s="4" t="s">
        <v>858</v>
      </c>
      <c r="C338" s="2" t="s">
        <v>40</v>
      </c>
      <c r="D338" s="9">
        <v>3000</v>
      </c>
      <c r="E338" s="9"/>
      <c r="F338" s="13"/>
    </row>
    <row r="339" spans="1:6" ht="12.75">
      <c r="A339" s="5" t="s">
        <v>275</v>
      </c>
      <c r="B339" s="4" t="s">
        <v>859</v>
      </c>
      <c r="C339" s="2" t="s">
        <v>40</v>
      </c>
      <c r="D339" s="9">
        <v>2500</v>
      </c>
      <c r="E339" s="9"/>
      <c r="F339" s="13"/>
    </row>
    <row r="340" spans="1:6" ht="12.75">
      <c r="A340" s="5" t="s">
        <v>275</v>
      </c>
      <c r="B340" s="4" t="s">
        <v>784</v>
      </c>
      <c r="C340" s="2" t="s">
        <v>40</v>
      </c>
      <c r="D340" s="9">
        <v>106000</v>
      </c>
      <c r="E340" s="9"/>
      <c r="F340" s="13"/>
    </row>
    <row r="341" spans="1:6" ht="12.75">
      <c r="A341" s="5" t="s">
        <v>275</v>
      </c>
      <c r="B341" s="4" t="s">
        <v>860</v>
      </c>
      <c r="C341" s="2" t="s">
        <v>40</v>
      </c>
      <c r="D341" s="9">
        <v>3000</v>
      </c>
      <c r="E341" s="9"/>
      <c r="F341" s="13"/>
    </row>
    <row r="342" spans="1:6" ht="12.75">
      <c r="A342" s="5" t="s">
        <v>275</v>
      </c>
      <c r="B342" s="4" t="s">
        <v>785</v>
      </c>
      <c r="C342" s="2" t="s">
        <v>40</v>
      </c>
      <c r="D342" s="9">
        <v>13000</v>
      </c>
      <c r="E342" s="9"/>
      <c r="F342" s="13"/>
    </row>
    <row r="343" spans="1:6" ht="12.75">
      <c r="A343" s="5" t="s">
        <v>275</v>
      </c>
      <c r="B343" s="4" t="s">
        <v>861</v>
      </c>
      <c r="C343" s="2" t="s">
        <v>40</v>
      </c>
      <c r="D343" s="9">
        <v>40000</v>
      </c>
      <c r="E343" s="9"/>
      <c r="F343" s="13"/>
    </row>
    <row r="344" spans="1:6" ht="12.75">
      <c r="A344" s="5" t="s">
        <v>275</v>
      </c>
      <c r="B344" s="4" t="s">
        <v>862</v>
      </c>
      <c r="C344" s="2" t="s">
        <v>40</v>
      </c>
      <c r="D344" s="9">
        <v>1500</v>
      </c>
      <c r="E344" s="9"/>
      <c r="F344" s="13"/>
    </row>
    <row r="345" spans="1:6" ht="12.75">
      <c r="A345" s="5" t="s">
        <v>275</v>
      </c>
      <c r="B345" s="4" t="s">
        <v>68</v>
      </c>
      <c r="C345" s="2" t="s">
        <v>40</v>
      </c>
      <c r="D345" s="46">
        <v>166</v>
      </c>
      <c r="E345" s="9">
        <f>SUM(D338:D345)</f>
        <v>169166</v>
      </c>
      <c r="F345" s="13" t="s">
        <v>40</v>
      </c>
    </row>
    <row r="346" spans="1:6" ht="12.75">
      <c r="A346" s="5" t="s">
        <v>39</v>
      </c>
      <c r="B346" s="4" t="s">
        <v>355</v>
      </c>
      <c r="C346" s="2" t="s">
        <v>37</v>
      </c>
      <c r="D346" s="9">
        <v>368</v>
      </c>
      <c r="E346" s="9"/>
      <c r="F346" s="9"/>
    </row>
    <row r="347" spans="1:6" ht="12.75">
      <c r="A347" s="5" t="s">
        <v>39</v>
      </c>
      <c r="B347" s="4" t="s">
        <v>356</v>
      </c>
      <c r="C347" s="2" t="s">
        <v>37</v>
      </c>
      <c r="D347" s="9">
        <v>30950</v>
      </c>
      <c r="E347" s="9"/>
      <c r="F347" s="9"/>
    </row>
    <row r="348" spans="1:6" ht="12.75">
      <c r="A348" s="5" t="s">
        <v>39</v>
      </c>
      <c r="B348" s="4" t="s">
        <v>357</v>
      </c>
      <c r="C348" s="2" t="s">
        <v>37</v>
      </c>
      <c r="D348" s="9">
        <v>7050</v>
      </c>
      <c r="E348" s="9"/>
      <c r="F348" s="9"/>
    </row>
    <row r="349" spans="1:6" ht="12.75">
      <c r="A349" s="5" t="s">
        <v>39</v>
      </c>
      <c r="B349" s="4" t="s">
        <v>358</v>
      </c>
      <c r="C349" s="2" t="s">
        <v>37</v>
      </c>
      <c r="D349" s="9">
        <v>3814</v>
      </c>
      <c r="E349" s="9"/>
      <c r="F349" s="9"/>
    </row>
    <row r="350" spans="1:6" ht="12.75">
      <c r="A350" s="5" t="s">
        <v>39</v>
      </c>
      <c r="B350" s="4" t="s">
        <v>359</v>
      </c>
      <c r="C350" s="2" t="s">
        <v>37</v>
      </c>
      <c r="D350" s="9">
        <v>14230</v>
      </c>
      <c r="E350" s="9"/>
      <c r="F350" s="9"/>
    </row>
    <row r="351" spans="1:6" ht="12.75">
      <c r="A351" s="5" t="s">
        <v>39</v>
      </c>
      <c r="B351" s="4" t="s">
        <v>360</v>
      </c>
      <c r="C351" s="2" t="s">
        <v>37</v>
      </c>
      <c r="D351" s="9">
        <v>6915</v>
      </c>
      <c r="E351" s="9"/>
      <c r="F351" s="9"/>
    </row>
    <row r="352" spans="1:6" ht="12.75">
      <c r="A352" s="5" t="s">
        <v>39</v>
      </c>
      <c r="B352" s="4" t="s">
        <v>361</v>
      </c>
      <c r="C352" s="2" t="s">
        <v>37</v>
      </c>
      <c r="D352" s="9">
        <v>4810</v>
      </c>
      <c r="E352" s="9"/>
      <c r="F352" s="9"/>
    </row>
    <row r="353" spans="1:6" ht="12.75">
      <c r="A353" s="5" t="s">
        <v>39</v>
      </c>
      <c r="B353" s="4" t="s">
        <v>362</v>
      </c>
      <c r="C353" s="2" t="s">
        <v>37</v>
      </c>
      <c r="D353" s="9">
        <v>3575</v>
      </c>
      <c r="E353" s="9"/>
      <c r="F353" s="9"/>
    </row>
    <row r="354" spans="1:6" ht="12.75">
      <c r="A354" s="5" t="s">
        <v>39</v>
      </c>
      <c r="B354" s="4" t="s">
        <v>363</v>
      </c>
      <c r="C354" s="2" t="s">
        <v>37</v>
      </c>
      <c r="D354" s="9">
        <v>30950</v>
      </c>
      <c r="E354" s="9"/>
      <c r="F354" s="9"/>
    </row>
    <row r="355" spans="1:6" ht="12.75">
      <c r="A355" s="5" t="s">
        <v>39</v>
      </c>
      <c r="B355" s="4" t="s">
        <v>364</v>
      </c>
      <c r="C355" s="2" t="s">
        <v>40</v>
      </c>
      <c r="D355" s="9">
        <v>37700</v>
      </c>
      <c r="E355" s="9"/>
      <c r="F355" s="9"/>
    </row>
    <row r="356" spans="1:6" ht="12.75">
      <c r="A356" s="5" t="s">
        <v>39</v>
      </c>
      <c r="B356" s="4" t="s">
        <v>365</v>
      </c>
      <c r="C356" s="2" t="s">
        <v>40</v>
      </c>
      <c r="D356" s="9">
        <v>500</v>
      </c>
      <c r="E356" s="9"/>
      <c r="F356" s="9"/>
    </row>
    <row r="357" spans="1:6" ht="12.75">
      <c r="A357" s="5" t="s">
        <v>39</v>
      </c>
      <c r="B357" s="4" t="s">
        <v>366</v>
      </c>
      <c r="C357" s="2" t="s">
        <v>40</v>
      </c>
      <c r="D357" s="9">
        <v>44000</v>
      </c>
      <c r="E357" s="9"/>
      <c r="F357" s="9"/>
    </row>
    <row r="358" spans="1:6" ht="12.75">
      <c r="A358" s="5" t="s">
        <v>39</v>
      </c>
      <c r="B358" s="4" t="s">
        <v>367</v>
      </c>
      <c r="C358" s="2" t="s">
        <v>40</v>
      </c>
      <c r="D358" s="9">
        <v>6000</v>
      </c>
      <c r="E358" s="9"/>
      <c r="F358" s="9"/>
    </row>
    <row r="359" spans="1:6" ht="12.75">
      <c r="A359" s="5" t="s">
        <v>39</v>
      </c>
      <c r="B359" s="4" t="s">
        <v>368</v>
      </c>
      <c r="C359" s="2" t="s">
        <v>40</v>
      </c>
      <c r="D359" s="9">
        <v>133000</v>
      </c>
      <c r="E359" s="9"/>
      <c r="F359" s="9"/>
    </row>
    <row r="360" spans="1:6" ht="12.75">
      <c r="A360" s="5" t="s">
        <v>39</v>
      </c>
      <c r="B360" s="4" t="s">
        <v>369</v>
      </c>
      <c r="C360" s="2" t="s">
        <v>40</v>
      </c>
      <c r="D360" s="9">
        <v>4942</v>
      </c>
      <c r="E360" s="9"/>
      <c r="F360" s="9"/>
    </row>
    <row r="361" spans="1:6" ht="12.75">
      <c r="A361" s="5" t="s">
        <v>39</v>
      </c>
      <c r="B361" s="4" t="s">
        <v>370</v>
      </c>
      <c r="C361" s="2" t="s">
        <v>40</v>
      </c>
      <c r="D361" s="9">
        <v>412</v>
      </c>
      <c r="E361" s="9"/>
      <c r="F361" s="9"/>
    </row>
    <row r="362" spans="1:6" ht="12.75">
      <c r="A362" s="5" t="s">
        <v>39</v>
      </c>
      <c r="B362" s="4" t="s">
        <v>371</v>
      </c>
      <c r="C362" s="2" t="s">
        <v>40</v>
      </c>
      <c r="D362" s="9">
        <v>243941</v>
      </c>
      <c r="E362" s="9"/>
      <c r="F362" s="9"/>
    </row>
    <row r="363" spans="1:6" ht="12.75">
      <c r="A363" s="5" t="s">
        <v>39</v>
      </c>
      <c r="B363" s="16" t="s">
        <v>68</v>
      </c>
      <c r="C363" s="17" t="s">
        <v>40</v>
      </c>
      <c r="D363" s="18">
        <v>650</v>
      </c>
      <c r="E363" s="18"/>
      <c r="F363" s="18"/>
    </row>
    <row r="364" spans="1:6" ht="12.75">
      <c r="A364" s="5" t="s">
        <v>39</v>
      </c>
      <c r="B364" s="16" t="s">
        <v>372</v>
      </c>
      <c r="C364" s="17" t="s">
        <v>40</v>
      </c>
      <c r="D364" s="47">
        <v>50000</v>
      </c>
      <c r="E364" s="18">
        <f>SUM(D355:D364)-SUM(D346:D354)</f>
        <v>418483</v>
      </c>
      <c r="F364" s="13" t="s">
        <v>40</v>
      </c>
    </row>
    <row r="365" spans="1:6" ht="12.75">
      <c r="A365" s="5" t="s">
        <v>36</v>
      </c>
      <c r="B365" s="16" t="s">
        <v>404</v>
      </c>
      <c r="C365" s="17" t="s">
        <v>40</v>
      </c>
      <c r="D365" s="18">
        <v>31000</v>
      </c>
      <c r="E365" s="18"/>
      <c r="F365" s="18"/>
    </row>
    <row r="366" spans="1:6" ht="12.75">
      <c r="A366" s="5" t="s">
        <v>36</v>
      </c>
      <c r="B366" s="16" t="s">
        <v>405</v>
      </c>
      <c r="C366" s="17" t="s">
        <v>40</v>
      </c>
      <c r="D366" s="18">
        <v>1000</v>
      </c>
      <c r="E366" s="18"/>
      <c r="F366" s="18"/>
    </row>
    <row r="367" spans="1:6" ht="12.75">
      <c r="A367" s="5" t="s">
        <v>36</v>
      </c>
      <c r="B367" s="16" t="s">
        <v>406</v>
      </c>
      <c r="C367" s="17" t="s">
        <v>40</v>
      </c>
      <c r="D367" s="18">
        <v>748</v>
      </c>
      <c r="E367" s="18"/>
      <c r="F367" s="18"/>
    </row>
    <row r="368" spans="1:6" ht="12.75">
      <c r="A368" s="5" t="s">
        <v>36</v>
      </c>
      <c r="B368" s="16" t="s">
        <v>68</v>
      </c>
      <c r="C368" s="17" t="s">
        <v>40</v>
      </c>
      <c r="D368" s="47">
        <v>94</v>
      </c>
      <c r="E368" s="18">
        <f>SUM(D365:D368)</f>
        <v>32842</v>
      </c>
      <c r="F368" s="13" t="s">
        <v>40</v>
      </c>
    </row>
    <row r="369" spans="1:6" ht="12.75">
      <c r="A369" s="5" t="s">
        <v>41</v>
      </c>
      <c r="B369" s="16" t="s">
        <v>419</v>
      </c>
      <c r="C369" s="17" t="s">
        <v>40</v>
      </c>
      <c r="D369" s="18">
        <v>400000</v>
      </c>
      <c r="E369" s="18"/>
      <c r="F369" s="18"/>
    </row>
    <row r="370" spans="1:6" ht="12.75">
      <c r="A370" s="5" t="s">
        <v>41</v>
      </c>
      <c r="B370" s="16" t="s">
        <v>420</v>
      </c>
      <c r="C370" s="17" t="s">
        <v>40</v>
      </c>
      <c r="D370" s="18">
        <v>42500</v>
      </c>
      <c r="E370" s="18"/>
      <c r="F370" s="18"/>
    </row>
    <row r="371" spans="1:6" ht="12.75">
      <c r="A371" s="5" t="s">
        <v>41</v>
      </c>
      <c r="B371" s="16" t="s">
        <v>421</v>
      </c>
      <c r="C371" s="17" t="s">
        <v>40</v>
      </c>
      <c r="D371" s="18">
        <v>658</v>
      </c>
      <c r="E371" s="18"/>
      <c r="F371" s="18"/>
    </row>
    <row r="372" spans="1:6" ht="12.75">
      <c r="A372" s="5" t="s">
        <v>41</v>
      </c>
      <c r="B372" s="16" t="s">
        <v>422</v>
      </c>
      <c r="C372" s="17" t="s">
        <v>40</v>
      </c>
      <c r="D372" s="18">
        <v>192250</v>
      </c>
      <c r="E372" s="18"/>
      <c r="F372" s="18"/>
    </row>
    <row r="373" spans="1:6" ht="12.75">
      <c r="A373" s="5" t="s">
        <v>41</v>
      </c>
      <c r="B373" s="16" t="s">
        <v>423</v>
      </c>
      <c r="C373" s="17" t="s">
        <v>40</v>
      </c>
      <c r="D373" s="18">
        <v>12655</v>
      </c>
      <c r="E373" s="18"/>
      <c r="F373" s="18"/>
    </row>
    <row r="374" spans="1:6" ht="12.75">
      <c r="A374" s="5" t="s">
        <v>41</v>
      </c>
      <c r="B374" s="16" t="s">
        <v>424</v>
      </c>
      <c r="C374" s="17" t="s">
        <v>40</v>
      </c>
      <c r="D374" s="18">
        <v>100000</v>
      </c>
      <c r="E374" s="18"/>
      <c r="F374" s="18"/>
    </row>
    <row r="375" spans="1:6" ht="12.75">
      <c r="A375" s="5" t="s">
        <v>41</v>
      </c>
      <c r="B375" s="16" t="s">
        <v>425</v>
      </c>
      <c r="C375" s="17" t="s">
        <v>40</v>
      </c>
      <c r="D375" s="18">
        <v>385</v>
      </c>
      <c r="E375" s="18"/>
      <c r="F375" s="18"/>
    </row>
    <row r="376" spans="1:6" ht="12.75">
      <c r="A376" s="5" t="s">
        <v>41</v>
      </c>
      <c r="B376" s="16" t="s">
        <v>426</v>
      </c>
      <c r="C376" s="17" t="s">
        <v>40</v>
      </c>
      <c r="D376" s="18">
        <v>1500</v>
      </c>
      <c r="E376" s="18"/>
      <c r="F376" s="18"/>
    </row>
    <row r="377" spans="1:6" ht="12.75">
      <c r="A377" s="5" t="s">
        <v>41</v>
      </c>
      <c r="B377" s="16" t="s">
        <v>855</v>
      </c>
      <c r="C377" s="17" t="s">
        <v>40</v>
      </c>
      <c r="D377" s="18">
        <v>1400</v>
      </c>
      <c r="E377" s="18"/>
      <c r="F377" s="18"/>
    </row>
    <row r="378" spans="1:6" ht="12.75">
      <c r="A378" s="5" t="s">
        <v>41</v>
      </c>
      <c r="B378" s="16" t="s">
        <v>856</v>
      </c>
      <c r="C378" s="17" t="s">
        <v>40</v>
      </c>
      <c r="D378" s="18">
        <v>9000</v>
      </c>
      <c r="E378" s="18"/>
      <c r="F378" s="18"/>
    </row>
    <row r="379" spans="1:6" ht="12.75">
      <c r="A379" s="5" t="s">
        <v>41</v>
      </c>
      <c r="B379" s="16" t="s">
        <v>68</v>
      </c>
      <c r="C379" s="17" t="s">
        <v>40</v>
      </c>
      <c r="D379" s="47">
        <v>735</v>
      </c>
      <c r="E379" s="18">
        <f>SUM(D369:D379)</f>
        <v>761083</v>
      </c>
      <c r="F379" s="17" t="s">
        <v>40</v>
      </c>
    </row>
    <row r="380" spans="2:6" ht="12.75">
      <c r="B380" s="16"/>
      <c r="C380" s="17"/>
      <c r="D380" s="16"/>
      <c r="E380" s="16"/>
      <c r="F380" s="16"/>
    </row>
    <row r="381" spans="2:4" ht="12.75">
      <c r="B381" s="1" t="s">
        <v>333</v>
      </c>
      <c r="C381" s="2"/>
      <c r="D381" s="3"/>
    </row>
    <row r="382" spans="2:4" ht="15">
      <c r="B382" s="10" t="s">
        <v>2</v>
      </c>
      <c r="C382" s="11"/>
      <c r="D382" s="3" t="s">
        <v>3</v>
      </c>
    </row>
    <row r="383" spans="2:4" ht="12.75">
      <c r="B383" s="11"/>
      <c r="C383" s="13"/>
      <c r="D383" s="12" t="s">
        <v>4</v>
      </c>
    </row>
    <row r="384" spans="1:4" ht="12.75">
      <c r="A384" s="5" t="s">
        <v>38</v>
      </c>
      <c r="B384" s="11" t="s">
        <v>99</v>
      </c>
      <c r="C384" s="13"/>
      <c r="D384" s="18">
        <v>18800</v>
      </c>
    </row>
    <row r="385" spans="1:4" ht="12.75">
      <c r="A385" s="5" t="s">
        <v>38</v>
      </c>
      <c r="B385" s="11" t="s">
        <v>161</v>
      </c>
      <c r="C385" s="13"/>
      <c r="D385" s="18">
        <v>8265</v>
      </c>
    </row>
    <row r="386" spans="1:4" ht="12.75">
      <c r="A386" s="5" t="s">
        <v>38</v>
      </c>
      <c r="B386" s="11" t="s">
        <v>100</v>
      </c>
      <c r="C386" s="13"/>
      <c r="D386" s="18">
        <v>1050</v>
      </c>
    </row>
    <row r="387" spans="1:4" ht="12.75">
      <c r="A387" s="5" t="s">
        <v>38</v>
      </c>
      <c r="B387" s="11" t="s">
        <v>210</v>
      </c>
      <c r="C387" s="13"/>
      <c r="D387" s="18">
        <v>20279</v>
      </c>
    </row>
    <row r="388" spans="1:4" ht="12.75">
      <c r="A388" s="5" t="s">
        <v>38</v>
      </c>
      <c r="B388" s="11" t="s">
        <v>211</v>
      </c>
      <c r="C388" s="13"/>
      <c r="D388" s="18">
        <v>13821</v>
      </c>
    </row>
    <row r="389" spans="1:4" ht="12.75">
      <c r="A389" s="5" t="s">
        <v>38</v>
      </c>
      <c r="B389" s="11" t="s">
        <v>93</v>
      </c>
      <c r="C389" s="13"/>
      <c r="D389" s="18">
        <v>1470</v>
      </c>
    </row>
    <row r="390" spans="1:4" ht="12.75">
      <c r="A390" s="5" t="s">
        <v>38</v>
      </c>
      <c r="B390" s="11" t="s">
        <v>212</v>
      </c>
      <c r="C390" s="13"/>
      <c r="D390" s="18">
        <f>6665.67+0.33</f>
        <v>6666</v>
      </c>
    </row>
    <row r="391" spans="1:4" ht="12.75">
      <c r="A391" s="5" t="s">
        <v>38</v>
      </c>
      <c r="B391" s="11" t="s">
        <v>102</v>
      </c>
      <c r="C391" s="13"/>
      <c r="D391" s="18">
        <v>8820</v>
      </c>
    </row>
    <row r="392" spans="1:4" ht="12.75">
      <c r="A392" s="5" t="s">
        <v>38</v>
      </c>
      <c r="B392" s="11" t="s">
        <v>103</v>
      </c>
      <c r="C392" s="13"/>
      <c r="D392" s="18">
        <v>185000</v>
      </c>
    </row>
    <row r="393" spans="1:4" ht="12.75">
      <c r="A393" s="5" t="s">
        <v>38</v>
      </c>
      <c r="B393" s="11" t="s">
        <v>104</v>
      </c>
      <c r="C393" s="13"/>
      <c r="D393" s="18">
        <f>22201.4-0.4</f>
        <v>22201</v>
      </c>
    </row>
    <row r="394" spans="1:5" ht="12.75">
      <c r="A394" s="5" t="s">
        <v>38</v>
      </c>
      <c r="B394" s="11" t="s">
        <v>213</v>
      </c>
      <c r="C394" s="13"/>
      <c r="D394" s="47">
        <v>68684</v>
      </c>
      <c r="E394" s="14">
        <f>SUM(D384:D394)</f>
        <v>355056</v>
      </c>
    </row>
    <row r="395" spans="1:4" ht="12.75">
      <c r="A395" s="5" t="s">
        <v>77</v>
      </c>
      <c r="B395" s="4" t="s">
        <v>230</v>
      </c>
      <c r="D395" s="18">
        <v>95217</v>
      </c>
    </row>
    <row r="396" spans="1:4" ht="12.75">
      <c r="A396" s="5" t="s">
        <v>77</v>
      </c>
      <c r="B396" s="4" t="s">
        <v>161</v>
      </c>
      <c r="D396" s="18">
        <v>5510</v>
      </c>
    </row>
    <row r="397" spans="1:4" ht="12.75">
      <c r="A397" s="5" t="s">
        <v>77</v>
      </c>
      <c r="B397" s="4" t="s">
        <v>231</v>
      </c>
      <c r="D397" s="18">
        <v>6161</v>
      </c>
    </row>
    <row r="398" spans="1:4" ht="12.75">
      <c r="A398" s="5" t="s">
        <v>77</v>
      </c>
      <c r="B398" s="4" t="s">
        <v>70</v>
      </c>
      <c r="D398" s="18">
        <v>168707</v>
      </c>
    </row>
    <row r="399" spans="1:4" ht="12.75">
      <c r="A399" s="5" t="s">
        <v>77</v>
      </c>
      <c r="B399" s="4" t="s">
        <v>232</v>
      </c>
      <c r="D399" s="18">
        <v>628804</v>
      </c>
    </row>
    <row r="400" spans="1:4" ht="12.75">
      <c r="A400" s="5" t="s">
        <v>77</v>
      </c>
      <c r="B400" s="4" t="s">
        <v>229</v>
      </c>
      <c r="D400" s="18">
        <v>1005</v>
      </c>
    </row>
    <row r="401" spans="1:4" ht="12.75">
      <c r="A401" s="5" t="s">
        <v>77</v>
      </c>
      <c r="B401" s="4" t="s">
        <v>233</v>
      </c>
      <c r="D401" s="18">
        <f>339679.5+0.5</f>
        <v>339680</v>
      </c>
    </row>
    <row r="402" spans="1:4" ht="12.75">
      <c r="A402" s="5" t="s">
        <v>77</v>
      </c>
      <c r="B402" s="4" t="s">
        <v>234</v>
      </c>
      <c r="D402" s="18">
        <v>72677</v>
      </c>
    </row>
    <row r="403" spans="1:4" ht="12.75">
      <c r="A403" s="5" t="s">
        <v>77</v>
      </c>
      <c r="B403" s="4" t="s">
        <v>71</v>
      </c>
      <c r="D403" s="18">
        <v>172440</v>
      </c>
    </row>
    <row r="404" spans="1:4" ht="12.75">
      <c r="A404" s="5" t="s">
        <v>77</v>
      </c>
      <c r="B404" s="4" t="s">
        <v>72</v>
      </c>
      <c r="D404" s="18">
        <v>198563</v>
      </c>
    </row>
    <row r="405" spans="1:4" ht="12.75">
      <c r="A405" s="5" t="s">
        <v>77</v>
      </c>
      <c r="B405" s="4" t="s">
        <v>235</v>
      </c>
      <c r="D405" s="18">
        <v>10000</v>
      </c>
    </row>
    <row r="406" spans="1:4" ht="12.75">
      <c r="A406" s="5" t="s">
        <v>77</v>
      </c>
      <c r="B406" s="4" t="s">
        <v>236</v>
      </c>
      <c r="D406" s="9">
        <f>4271.98+0.02</f>
        <v>4272</v>
      </c>
    </row>
    <row r="407" spans="1:4" ht="12.75">
      <c r="A407" s="5" t="s">
        <v>77</v>
      </c>
      <c r="B407" s="4" t="s">
        <v>237</v>
      </c>
      <c r="D407" s="9">
        <f>126224.72+0.28</f>
        <v>126225</v>
      </c>
    </row>
    <row r="408" spans="1:4" ht="12.75">
      <c r="A408" s="5" t="s">
        <v>77</v>
      </c>
      <c r="B408" s="4" t="s">
        <v>238</v>
      </c>
      <c r="D408" s="9">
        <f>186093.25-0.25</f>
        <v>186093</v>
      </c>
    </row>
    <row r="409" spans="1:4" ht="12.75">
      <c r="A409" s="5" t="s">
        <v>77</v>
      </c>
      <c r="B409" s="4" t="s">
        <v>239</v>
      </c>
      <c r="D409" s="9">
        <f>735361.5+0.5</f>
        <v>735362</v>
      </c>
    </row>
    <row r="410" spans="1:4" ht="12.75">
      <c r="A410" s="5" t="s">
        <v>77</v>
      </c>
      <c r="B410" s="4" t="s">
        <v>175</v>
      </c>
      <c r="D410" s="9">
        <f>194648.5+0.5</f>
        <v>194649</v>
      </c>
    </row>
    <row r="411" spans="1:4" ht="12.75">
      <c r="A411" s="5" t="s">
        <v>77</v>
      </c>
      <c r="B411" s="4" t="s">
        <v>240</v>
      </c>
      <c r="D411" s="9">
        <f>52644.44-0.44</f>
        <v>52644</v>
      </c>
    </row>
    <row r="412" spans="1:4" ht="12.75">
      <c r="A412" s="5" t="s">
        <v>77</v>
      </c>
      <c r="B412" s="4" t="s">
        <v>104</v>
      </c>
      <c r="D412" s="9">
        <f>244084.49-0.49</f>
        <v>244084</v>
      </c>
    </row>
    <row r="413" spans="1:4" ht="12.75">
      <c r="A413" s="5" t="s">
        <v>77</v>
      </c>
      <c r="B413" s="4" t="s">
        <v>213</v>
      </c>
      <c r="D413" s="9">
        <v>98682</v>
      </c>
    </row>
    <row r="414" spans="1:4" ht="12.75">
      <c r="A414" s="5" t="s">
        <v>77</v>
      </c>
      <c r="B414" s="4" t="s">
        <v>241</v>
      </c>
      <c r="D414" s="9">
        <v>19649</v>
      </c>
    </row>
    <row r="415" spans="1:5" ht="12.75">
      <c r="A415" s="5" t="s">
        <v>77</v>
      </c>
      <c r="B415" s="4" t="s">
        <v>242</v>
      </c>
      <c r="D415" s="46">
        <v>28775</v>
      </c>
      <c r="E415" s="14">
        <f>SUM(D395:D415)</f>
        <v>3389199</v>
      </c>
    </row>
    <row r="416" spans="1:4" ht="12.75">
      <c r="A416" s="5" t="s">
        <v>217</v>
      </c>
      <c r="B416" s="4" t="s">
        <v>161</v>
      </c>
      <c r="D416" s="9">
        <v>2755</v>
      </c>
    </row>
    <row r="417" spans="1:4" ht="12.75">
      <c r="A417" s="5" t="s">
        <v>217</v>
      </c>
      <c r="B417" s="4" t="s">
        <v>228</v>
      </c>
      <c r="D417" s="9">
        <v>207520</v>
      </c>
    </row>
    <row r="418" spans="1:4" ht="12.75">
      <c r="A418" s="5" t="s">
        <v>217</v>
      </c>
      <c r="B418" s="4" t="s">
        <v>229</v>
      </c>
      <c r="D418" s="9">
        <v>5125</v>
      </c>
    </row>
    <row r="419" spans="1:5" ht="12.75">
      <c r="A419" s="5" t="s">
        <v>217</v>
      </c>
      <c r="B419" s="4" t="s">
        <v>102</v>
      </c>
      <c r="D419" s="46">
        <v>7124</v>
      </c>
      <c r="E419" s="14">
        <f>SUM(D416:D419)</f>
        <v>222524</v>
      </c>
    </row>
    <row r="420" spans="1:5" ht="12.75">
      <c r="A420" s="5" t="s">
        <v>248</v>
      </c>
      <c r="B420" s="4" t="s">
        <v>161</v>
      </c>
      <c r="D420" s="9">
        <v>2755</v>
      </c>
      <c r="E420" s="14"/>
    </row>
    <row r="421" spans="1:5" ht="12.75">
      <c r="A421" s="5" t="s">
        <v>248</v>
      </c>
      <c r="B421" s="16" t="s">
        <v>259</v>
      </c>
      <c r="C421" s="3"/>
      <c r="D421" s="9">
        <v>130</v>
      </c>
      <c r="E421" s="14"/>
    </row>
    <row r="422" spans="1:5" ht="12.75">
      <c r="A422" s="5" t="s">
        <v>248</v>
      </c>
      <c r="B422" s="4" t="s">
        <v>172</v>
      </c>
      <c r="D422" s="9">
        <v>160943</v>
      </c>
      <c r="E422" s="14"/>
    </row>
    <row r="423" spans="1:5" ht="12.75">
      <c r="A423" s="5" t="s">
        <v>248</v>
      </c>
      <c r="B423" s="4" t="s">
        <v>175</v>
      </c>
      <c r="D423" s="9">
        <v>614157</v>
      </c>
      <c r="E423" s="14"/>
    </row>
    <row r="424" spans="1:5" ht="12.75">
      <c r="A424" s="5" t="s">
        <v>248</v>
      </c>
      <c r="B424" s="4" t="s">
        <v>252</v>
      </c>
      <c r="D424" s="46">
        <v>536060</v>
      </c>
      <c r="E424" s="14">
        <f>SUM(D420:D424)</f>
        <v>1314045</v>
      </c>
    </row>
    <row r="425" spans="1:5" ht="12.75">
      <c r="A425" s="5" t="s">
        <v>275</v>
      </c>
      <c r="B425" s="4" t="s">
        <v>99</v>
      </c>
      <c r="D425" s="9">
        <v>7137</v>
      </c>
      <c r="E425" s="14"/>
    </row>
    <row r="426" spans="1:5" ht="12.75">
      <c r="A426" s="5" t="s">
        <v>275</v>
      </c>
      <c r="B426" s="4" t="s">
        <v>161</v>
      </c>
      <c r="D426" s="9">
        <v>2755</v>
      </c>
      <c r="E426" s="14"/>
    </row>
    <row r="427" spans="1:5" ht="12.75">
      <c r="A427" s="5" t="s">
        <v>275</v>
      </c>
      <c r="B427" s="4" t="s">
        <v>234</v>
      </c>
      <c r="D427" s="9">
        <v>245628</v>
      </c>
      <c r="E427" s="14"/>
    </row>
    <row r="428" spans="1:5" ht="12.75">
      <c r="A428" s="5" t="s">
        <v>275</v>
      </c>
      <c r="B428" s="4" t="s">
        <v>279</v>
      </c>
      <c r="D428" s="9">
        <v>1216682</v>
      </c>
      <c r="E428" s="14"/>
    </row>
    <row r="429" spans="1:5" ht="12.75">
      <c r="A429" s="5" t="s">
        <v>275</v>
      </c>
      <c r="B429" s="4" t="s">
        <v>213</v>
      </c>
      <c r="D429" s="9">
        <v>3452389</v>
      </c>
      <c r="E429" s="14"/>
    </row>
    <row r="430" spans="1:5" ht="12.75">
      <c r="A430" s="5" t="s">
        <v>275</v>
      </c>
      <c r="B430" s="4" t="s">
        <v>280</v>
      </c>
      <c r="D430" s="9">
        <v>4500</v>
      </c>
      <c r="E430" s="14"/>
    </row>
    <row r="431" spans="1:5" ht="12.75">
      <c r="A431" s="5" t="s">
        <v>275</v>
      </c>
      <c r="B431" s="4" t="s">
        <v>242</v>
      </c>
      <c r="D431" s="9">
        <v>9050</v>
      </c>
      <c r="E431" s="14"/>
    </row>
    <row r="432" spans="1:5" ht="12.75">
      <c r="A432" s="5" t="s">
        <v>275</v>
      </c>
      <c r="B432" s="4" t="s">
        <v>183</v>
      </c>
      <c r="D432" s="9">
        <v>1002</v>
      </c>
      <c r="E432" s="14"/>
    </row>
    <row r="433" spans="1:5" ht="12.75">
      <c r="A433" s="5" t="s">
        <v>275</v>
      </c>
      <c r="B433" s="4" t="s">
        <v>93</v>
      </c>
      <c r="D433" s="9">
        <v>616</v>
      </c>
      <c r="E433" s="14"/>
    </row>
    <row r="434" spans="1:5" ht="12.75">
      <c r="A434" s="5" t="s">
        <v>275</v>
      </c>
      <c r="B434" s="4" t="s">
        <v>281</v>
      </c>
      <c r="D434" s="46">
        <v>724</v>
      </c>
      <c r="E434" s="14">
        <f>SUM(D425:D434)</f>
        <v>4940483</v>
      </c>
    </row>
    <row r="435" spans="1:5" ht="12.75">
      <c r="A435" s="5" t="s">
        <v>39</v>
      </c>
      <c r="B435" s="4" t="s">
        <v>230</v>
      </c>
      <c r="D435" s="9">
        <v>321391</v>
      </c>
      <c r="E435" s="14"/>
    </row>
    <row r="436" spans="1:5" ht="12.75">
      <c r="A436" s="5" t="s">
        <v>39</v>
      </c>
      <c r="B436" s="4" t="s">
        <v>376</v>
      </c>
      <c r="D436" s="9">
        <f>39187.5+0.5-1</f>
        <v>39187</v>
      </c>
      <c r="E436" s="14"/>
    </row>
    <row r="437" spans="1:5" ht="12.75">
      <c r="A437" s="5" t="s">
        <v>39</v>
      </c>
      <c r="B437" s="4" t="s">
        <v>161</v>
      </c>
      <c r="D437" s="9">
        <v>5510</v>
      </c>
      <c r="E437" s="14"/>
    </row>
    <row r="438" spans="1:5" ht="12.75">
      <c r="A438" s="5" t="s">
        <v>39</v>
      </c>
      <c r="B438" s="4" t="s">
        <v>377</v>
      </c>
      <c r="D438" s="9">
        <f>525821.5-310+0.5-1</f>
        <v>525511</v>
      </c>
      <c r="E438" s="14"/>
    </row>
    <row r="439" spans="1:5" ht="12.75">
      <c r="A439" s="5" t="s">
        <v>39</v>
      </c>
      <c r="B439" s="4" t="s">
        <v>232</v>
      </c>
      <c r="D439" s="9">
        <v>365526</v>
      </c>
      <c r="E439" s="14"/>
    </row>
    <row r="440" spans="1:5" ht="12.75">
      <c r="A440" s="5" t="s">
        <v>39</v>
      </c>
      <c r="B440" s="4" t="s">
        <v>378</v>
      </c>
      <c r="D440" s="9">
        <v>62421</v>
      </c>
      <c r="E440" s="14"/>
    </row>
    <row r="441" spans="1:5" ht="12.75">
      <c r="A441" s="5" t="s">
        <v>39</v>
      </c>
      <c r="B441" s="4" t="s">
        <v>229</v>
      </c>
      <c r="D441" s="9">
        <v>2263</v>
      </c>
      <c r="E441" s="14"/>
    </row>
    <row r="442" spans="1:5" ht="12.75">
      <c r="A442" s="5" t="s">
        <v>39</v>
      </c>
      <c r="B442" s="4" t="s">
        <v>233</v>
      </c>
      <c r="D442" s="9">
        <v>616258</v>
      </c>
      <c r="E442" s="14"/>
    </row>
    <row r="443" spans="1:5" ht="12.75">
      <c r="A443" s="5" t="s">
        <v>39</v>
      </c>
      <c r="B443" s="4" t="s">
        <v>379</v>
      </c>
      <c r="D443" s="9">
        <v>1819</v>
      </c>
      <c r="E443" s="14"/>
    </row>
    <row r="444" spans="1:5" ht="12.75">
      <c r="A444" s="5" t="s">
        <v>39</v>
      </c>
      <c r="B444" s="4" t="s">
        <v>234</v>
      </c>
      <c r="D444" s="9">
        <v>123382</v>
      </c>
      <c r="E444" s="14"/>
    </row>
    <row r="445" spans="1:5" ht="12.75">
      <c r="A445" s="5" t="s">
        <v>39</v>
      </c>
      <c r="B445" s="4" t="s">
        <v>101</v>
      </c>
      <c r="D445" s="9">
        <v>235000</v>
      </c>
      <c r="E445" s="14"/>
    </row>
    <row r="446" spans="1:5" ht="12.75">
      <c r="A446" s="5" t="s">
        <v>39</v>
      </c>
      <c r="B446" s="4" t="s">
        <v>380</v>
      </c>
      <c r="D446" s="9">
        <v>63809</v>
      </c>
      <c r="E446" s="14"/>
    </row>
    <row r="447" spans="1:5" ht="12.75">
      <c r="A447" s="5" t="s">
        <v>39</v>
      </c>
      <c r="B447" s="4" t="s">
        <v>93</v>
      </c>
      <c r="D447" s="9">
        <v>23320</v>
      </c>
      <c r="E447" s="14"/>
    </row>
    <row r="448" spans="1:5" ht="12.75">
      <c r="A448" s="5" t="s">
        <v>39</v>
      </c>
      <c r="B448" s="4" t="s">
        <v>238</v>
      </c>
      <c r="D448" s="9">
        <v>173940</v>
      </c>
      <c r="E448" s="14"/>
    </row>
    <row r="449" spans="1:5" ht="12.75">
      <c r="A449" s="5" t="s">
        <v>39</v>
      </c>
      <c r="B449" s="4" t="s">
        <v>102</v>
      </c>
      <c r="D449" s="9">
        <v>488114</v>
      </c>
      <c r="E449" s="14"/>
    </row>
    <row r="450" spans="1:5" ht="12.75">
      <c r="A450" s="5" t="s">
        <v>39</v>
      </c>
      <c r="B450" s="4" t="s">
        <v>103</v>
      </c>
      <c r="D450" s="9">
        <v>168000</v>
      </c>
      <c r="E450" s="14"/>
    </row>
    <row r="451" spans="1:5" ht="12.75">
      <c r="A451" s="5" t="s">
        <v>39</v>
      </c>
      <c r="B451" s="4" t="s">
        <v>381</v>
      </c>
      <c r="D451" s="9">
        <f>52181.1-0.1</f>
        <v>52181</v>
      </c>
      <c r="E451" s="14"/>
    </row>
    <row r="452" spans="1:5" ht="12.75">
      <c r="A452" s="5" t="s">
        <v>39</v>
      </c>
      <c r="B452" s="4" t="s">
        <v>382</v>
      </c>
      <c r="D452" s="9">
        <v>1458</v>
      </c>
      <c r="E452" s="14"/>
    </row>
    <row r="453" spans="1:5" ht="12.75">
      <c r="A453" s="5" t="s">
        <v>39</v>
      </c>
      <c r="B453" s="4" t="s">
        <v>104</v>
      </c>
      <c r="D453" s="9">
        <f>126390.41-0.41</f>
        <v>126390</v>
      </c>
      <c r="E453" s="14"/>
    </row>
    <row r="454" spans="1:5" ht="12.75">
      <c r="A454" s="5" t="s">
        <v>39</v>
      </c>
      <c r="B454" s="4" t="s">
        <v>281</v>
      </c>
      <c r="D454" s="9">
        <f>1244.5+0.5-1</f>
        <v>1244</v>
      </c>
      <c r="E454" s="14"/>
    </row>
    <row r="455" spans="1:5" ht="12.75">
      <c r="A455" s="5" t="s">
        <v>39</v>
      </c>
      <c r="B455" s="4" t="s">
        <v>169</v>
      </c>
      <c r="D455" s="9">
        <v>57813</v>
      </c>
      <c r="E455" s="14"/>
    </row>
    <row r="456" spans="1:5" ht="12.75">
      <c r="A456" s="5" t="s">
        <v>39</v>
      </c>
      <c r="B456" s="4" t="s">
        <v>213</v>
      </c>
      <c r="D456" s="9">
        <v>73575</v>
      </c>
      <c r="E456" s="14"/>
    </row>
    <row r="457" spans="1:5" ht="12.75">
      <c r="A457" s="5" t="s">
        <v>39</v>
      </c>
      <c r="B457" s="4" t="s">
        <v>241</v>
      </c>
      <c r="D457" s="46">
        <v>114745</v>
      </c>
      <c r="E457" s="14">
        <f>SUM(D435:D457)</f>
        <v>3642857</v>
      </c>
    </row>
    <row r="458" spans="1:5" ht="12.75">
      <c r="A458" s="5" t="s">
        <v>36</v>
      </c>
      <c r="B458" s="4" t="s">
        <v>161</v>
      </c>
      <c r="D458" s="9">
        <v>2755</v>
      </c>
      <c r="E458" s="14"/>
    </row>
    <row r="459" spans="1:5" ht="12.75">
      <c r="A459" s="5" t="s">
        <v>36</v>
      </c>
      <c r="B459" s="4" t="s">
        <v>232</v>
      </c>
      <c r="D459" s="9">
        <v>477381</v>
      </c>
      <c r="E459" s="14"/>
    </row>
    <row r="460" spans="1:5" ht="12.75">
      <c r="A460" s="5" t="s">
        <v>36</v>
      </c>
      <c r="B460" s="4" t="s">
        <v>410</v>
      </c>
      <c r="D460" s="9">
        <v>2639517</v>
      </c>
      <c r="E460" s="14"/>
    </row>
    <row r="461" spans="1:5" ht="12.75">
      <c r="A461" s="5" t="s">
        <v>36</v>
      </c>
      <c r="B461" s="4" t="s">
        <v>411</v>
      </c>
      <c r="D461" s="9">
        <v>260195</v>
      </c>
      <c r="E461" s="14"/>
    </row>
    <row r="462" spans="1:5" ht="12.75">
      <c r="A462" s="5" t="s">
        <v>36</v>
      </c>
      <c r="B462" s="4" t="s">
        <v>234</v>
      </c>
      <c r="D462" s="9">
        <v>8256</v>
      </c>
      <c r="E462" s="14"/>
    </row>
    <row r="463" spans="1:5" ht="12.75">
      <c r="A463" s="5" t="s">
        <v>36</v>
      </c>
      <c r="B463" s="4" t="s">
        <v>93</v>
      </c>
      <c r="D463" s="9">
        <v>2096</v>
      </c>
      <c r="E463" s="14"/>
    </row>
    <row r="464" spans="1:5" ht="12.75">
      <c r="A464" s="5" t="s">
        <v>36</v>
      </c>
      <c r="B464" s="4" t="s">
        <v>102</v>
      </c>
      <c r="D464" s="9">
        <v>2690</v>
      </c>
      <c r="E464" s="14"/>
    </row>
    <row r="465" spans="1:4" ht="12.75">
      <c r="A465" s="5" t="s">
        <v>36</v>
      </c>
      <c r="B465" s="4" t="s">
        <v>104</v>
      </c>
      <c r="D465" s="9">
        <v>9648</v>
      </c>
    </row>
    <row r="466" spans="1:5" ht="12.75">
      <c r="A466" s="5" t="s">
        <v>36</v>
      </c>
      <c r="B466" s="4" t="s">
        <v>281</v>
      </c>
      <c r="D466" s="46">
        <v>424</v>
      </c>
      <c r="E466" s="14">
        <f>SUM(D458:D466)</f>
        <v>3402962</v>
      </c>
    </row>
    <row r="467" spans="1:5" ht="12.75">
      <c r="A467" s="5" t="s">
        <v>41</v>
      </c>
      <c r="B467" s="4" t="s">
        <v>230</v>
      </c>
      <c r="D467" s="9">
        <v>265113</v>
      </c>
      <c r="E467" s="14"/>
    </row>
    <row r="468" spans="1:5" ht="12.75">
      <c r="A468" s="5" t="s">
        <v>41</v>
      </c>
      <c r="B468" s="4" t="s">
        <v>161</v>
      </c>
      <c r="D468" s="9">
        <v>5510</v>
      </c>
      <c r="E468" s="14"/>
    </row>
    <row r="469" spans="1:5" ht="12.75">
      <c r="A469" s="5" t="s">
        <v>41</v>
      </c>
      <c r="B469" s="4" t="s">
        <v>70</v>
      </c>
      <c r="D469" s="9">
        <v>7780</v>
      </c>
      <c r="E469" s="14"/>
    </row>
    <row r="470" spans="1:5" ht="12.75">
      <c r="A470" s="5" t="s">
        <v>41</v>
      </c>
      <c r="B470" s="4" t="s">
        <v>232</v>
      </c>
      <c r="D470" s="9">
        <v>560421</v>
      </c>
      <c r="E470" s="14"/>
    </row>
    <row r="471" spans="1:5" ht="12.75">
      <c r="A471" s="5" t="s">
        <v>41</v>
      </c>
      <c r="B471" s="4" t="s">
        <v>432</v>
      </c>
      <c r="D471" s="9">
        <v>81793</v>
      </c>
      <c r="E471" s="14"/>
    </row>
    <row r="472" spans="1:5" ht="12.75">
      <c r="A472" s="5" t="s">
        <v>41</v>
      </c>
      <c r="B472" s="4" t="s">
        <v>229</v>
      </c>
      <c r="D472" s="9">
        <v>1101</v>
      </c>
      <c r="E472" s="14"/>
    </row>
    <row r="473" spans="1:5" ht="12.75">
      <c r="A473" s="5" t="s">
        <v>41</v>
      </c>
      <c r="B473" s="4" t="s">
        <v>233</v>
      </c>
      <c r="D473" s="9">
        <f>131415.5+0.5</f>
        <v>131416</v>
      </c>
      <c r="E473" s="14"/>
    </row>
    <row r="474" spans="1:5" ht="12.75">
      <c r="A474" s="5" t="s">
        <v>41</v>
      </c>
      <c r="B474" s="4" t="s">
        <v>172</v>
      </c>
      <c r="D474" s="9">
        <f>22677.5+0.5</f>
        <v>22678</v>
      </c>
      <c r="E474" s="14"/>
    </row>
    <row r="475" spans="1:5" ht="12.75">
      <c r="A475" s="5" t="s">
        <v>41</v>
      </c>
      <c r="B475" s="4" t="s">
        <v>234</v>
      </c>
      <c r="D475" s="9">
        <v>47475</v>
      </c>
      <c r="E475" s="14"/>
    </row>
    <row r="476" spans="1:5" ht="12.75">
      <c r="A476" s="5" t="s">
        <v>41</v>
      </c>
      <c r="B476" s="4" t="s">
        <v>433</v>
      </c>
      <c r="D476" s="9">
        <v>1155008</v>
      </c>
      <c r="E476" s="14"/>
    </row>
    <row r="477" spans="1:5" ht="12.75">
      <c r="A477" s="5" t="s">
        <v>41</v>
      </c>
      <c r="B477" s="4" t="s">
        <v>434</v>
      </c>
      <c r="D477" s="9">
        <v>85623</v>
      </c>
      <c r="E477" s="14"/>
    </row>
    <row r="478" spans="1:5" ht="12.75">
      <c r="A478" s="5" t="s">
        <v>41</v>
      </c>
      <c r="B478" s="4" t="s">
        <v>237</v>
      </c>
      <c r="D478" s="9">
        <f>9694.4-0.4</f>
        <v>9694</v>
      </c>
      <c r="E478" s="14"/>
    </row>
    <row r="479" spans="1:5" ht="12.75">
      <c r="A479" s="5" t="s">
        <v>41</v>
      </c>
      <c r="B479" s="4" t="s">
        <v>435</v>
      </c>
      <c r="D479" s="9">
        <v>4483</v>
      </c>
      <c r="E479" s="14"/>
    </row>
    <row r="480" spans="1:5" ht="12.75">
      <c r="A480" s="5" t="s">
        <v>41</v>
      </c>
      <c r="B480" s="4" t="s">
        <v>436</v>
      </c>
      <c r="D480" s="9">
        <f>16983+1000</f>
        <v>17983</v>
      </c>
      <c r="E480" s="14"/>
    </row>
    <row r="481" spans="1:5" ht="12.75">
      <c r="A481" s="5" t="s">
        <v>41</v>
      </c>
      <c r="B481" s="4" t="s">
        <v>93</v>
      </c>
      <c r="D481" s="9">
        <v>10148</v>
      </c>
      <c r="E481" s="14"/>
    </row>
    <row r="482" spans="1:5" ht="12.75">
      <c r="A482" s="5" t="s">
        <v>41</v>
      </c>
      <c r="B482" s="4" t="s">
        <v>238</v>
      </c>
      <c r="D482" s="9">
        <v>23564</v>
      </c>
      <c r="E482" s="14"/>
    </row>
    <row r="483" spans="1:5" ht="12.75">
      <c r="A483" s="5" t="s">
        <v>41</v>
      </c>
      <c r="B483" s="4" t="s">
        <v>437</v>
      </c>
      <c r="D483" s="9">
        <v>317499</v>
      </c>
      <c r="E483" s="14"/>
    </row>
    <row r="484" spans="1:5" ht="12.75">
      <c r="A484" s="5" t="s">
        <v>41</v>
      </c>
      <c r="B484" s="4" t="s">
        <v>177</v>
      </c>
      <c r="D484" s="9">
        <v>57630</v>
      </c>
      <c r="E484" s="14"/>
    </row>
    <row r="485" spans="1:5" ht="12.75">
      <c r="A485" s="5" t="s">
        <v>41</v>
      </c>
      <c r="B485" s="4" t="s">
        <v>104</v>
      </c>
      <c r="D485" s="9">
        <f>167884.29-0.29</f>
        <v>167884</v>
      </c>
      <c r="E485" s="14"/>
    </row>
    <row r="486" spans="1:5" ht="12.75">
      <c r="A486" s="5" t="s">
        <v>41</v>
      </c>
      <c r="B486" s="4" t="s">
        <v>281</v>
      </c>
      <c r="D486" s="9">
        <f>6780.5+0.5+1</f>
        <v>6782</v>
      </c>
      <c r="E486" s="14"/>
    </row>
    <row r="487" spans="1:5" ht="12.75">
      <c r="A487" s="5" t="s">
        <v>41</v>
      </c>
      <c r="B487" s="4" t="s">
        <v>169</v>
      </c>
      <c r="D487" s="9">
        <v>57417</v>
      </c>
      <c r="E487" s="14"/>
    </row>
    <row r="488" spans="1:5" ht="12.75">
      <c r="A488" s="5" t="s">
        <v>41</v>
      </c>
      <c r="B488" s="4" t="s">
        <v>213</v>
      </c>
      <c r="D488" s="46">
        <v>174549</v>
      </c>
      <c r="E488" s="14">
        <f>SUM(D467:D488)</f>
        <v>3211551</v>
      </c>
    </row>
    <row r="489" ht="12.75">
      <c r="D489" s="9"/>
    </row>
    <row r="490" spans="2:4" ht="12.75">
      <c r="B490" s="1" t="s">
        <v>334</v>
      </c>
      <c r="C490" s="2"/>
      <c r="D490" s="3"/>
    </row>
    <row r="491" spans="2:4" ht="15">
      <c r="B491" s="10" t="s">
        <v>2</v>
      </c>
      <c r="C491" s="11"/>
      <c r="D491" s="3" t="s">
        <v>3</v>
      </c>
    </row>
    <row r="492" spans="2:4" ht="12.75">
      <c r="B492" s="11"/>
      <c r="C492" s="13"/>
      <c r="D492" s="12" t="s">
        <v>4</v>
      </c>
    </row>
    <row r="493" spans="1:4" ht="12.75">
      <c r="A493" s="5" t="s">
        <v>77</v>
      </c>
      <c r="B493" s="4" t="s">
        <v>383</v>
      </c>
      <c r="D493" s="9">
        <v>8613</v>
      </c>
    </row>
    <row r="494" spans="1:4" ht="12.75">
      <c r="A494" s="5" t="s">
        <v>77</v>
      </c>
      <c r="B494" s="4" t="s">
        <v>384</v>
      </c>
      <c r="D494" s="9">
        <v>57600</v>
      </c>
    </row>
    <row r="495" spans="1:4" ht="12.75">
      <c r="A495" s="5" t="s">
        <v>77</v>
      </c>
      <c r="B495" s="4" t="s">
        <v>385</v>
      </c>
      <c r="D495" s="9">
        <v>81511</v>
      </c>
    </row>
    <row r="496" spans="1:4" ht="12.75">
      <c r="A496" s="5" t="s">
        <v>77</v>
      </c>
      <c r="B496" s="4" t="s">
        <v>386</v>
      </c>
      <c r="D496" s="9">
        <v>4225</v>
      </c>
    </row>
    <row r="497" spans="1:4" ht="12.75">
      <c r="A497" s="5" t="s">
        <v>77</v>
      </c>
      <c r="B497" s="4" t="s">
        <v>387</v>
      </c>
      <c r="D497" s="9">
        <f>297925.12-0.12</f>
        <v>297925</v>
      </c>
    </row>
    <row r="498" spans="1:4" ht="12.75">
      <c r="A498" s="5" t="s">
        <v>77</v>
      </c>
      <c r="B498" s="4" t="s">
        <v>181</v>
      </c>
      <c r="D498" s="9">
        <v>187265</v>
      </c>
    </row>
    <row r="499" spans="1:4" ht="12.75">
      <c r="A499" s="5" t="s">
        <v>77</v>
      </c>
      <c r="B499" s="4" t="s">
        <v>182</v>
      </c>
      <c r="D499" s="9">
        <v>116370</v>
      </c>
    </row>
    <row r="500" spans="1:4" ht="12.75">
      <c r="A500" s="5" t="s">
        <v>77</v>
      </c>
      <c r="B500" s="4" t="s">
        <v>388</v>
      </c>
      <c r="D500" s="9">
        <v>28308</v>
      </c>
    </row>
    <row r="501" spans="1:4" ht="12.75">
      <c r="A501" s="5" t="s">
        <v>77</v>
      </c>
      <c r="B501" s="4" t="s">
        <v>389</v>
      </c>
      <c r="D501" s="9">
        <v>4286</v>
      </c>
    </row>
    <row r="502" spans="1:5" ht="12.75">
      <c r="A502" s="5" t="s">
        <v>77</v>
      </c>
      <c r="B502" s="4" t="s">
        <v>186</v>
      </c>
      <c r="D502" s="46">
        <v>159419</v>
      </c>
      <c r="E502" s="14">
        <f>SUM(D493:D502)</f>
        <v>945522</v>
      </c>
    </row>
    <row r="503" spans="1:5" ht="12.75">
      <c r="A503" s="5" t="s">
        <v>39</v>
      </c>
      <c r="B503" s="4" t="s">
        <v>184</v>
      </c>
      <c r="D503" s="9">
        <v>678851</v>
      </c>
      <c r="E503" s="14"/>
    </row>
    <row r="504" spans="1:5" ht="12.75">
      <c r="A504" s="5" t="s">
        <v>39</v>
      </c>
      <c r="B504" s="4" t="s">
        <v>180</v>
      </c>
      <c r="D504" s="9">
        <f>218959.49-0.49</f>
        <v>218959</v>
      </c>
      <c r="E504" s="14"/>
    </row>
    <row r="505" spans="1:5" ht="12.75">
      <c r="A505" s="5" t="s">
        <v>39</v>
      </c>
      <c r="B505" s="4" t="s">
        <v>181</v>
      </c>
      <c r="D505" s="9">
        <f>87179.96+0.04</f>
        <v>87180</v>
      </c>
      <c r="E505" s="14"/>
    </row>
    <row r="506" spans="1:5" ht="12.75">
      <c r="A506" s="5" t="s">
        <v>39</v>
      </c>
      <c r="B506" s="4" t="s">
        <v>390</v>
      </c>
      <c r="D506" s="9">
        <v>9047</v>
      </c>
      <c r="E506" s="14"/>
    </row>
    <row r="507" spans="1:5" ht="12.75">
      <c r="A507" s="5" t="s">
        <v>39</v>
      </c>
      <c r="B507" s="4" t="s">
        <v>182</v>
      </c>
      <c r="D507" s="9">
        <v>33685</v>
      </c>
      <c r="E507" s="14"/>
    </row>
    <row r="508" spans="1:5" ht="12.75">
      <c r="A508" s="5" t="s">
        <v>39</v>
      </c>
      <c r="B508" s="4" t="s">
        <v>388</v>
      </c>
      <c r="D508" s="9">
        <v>27601</v>
      </c>
      <c r="E508" s="14"/>
    </row>
    <row r="509" spans="1:5" ht="12.75">
      <c r="A509" s="5" t="s">
        <v>39</v>
      </c>
      <c r="B509" s="4" t="s">
        <v>391</v>
      </c>
      <c r="D509" s="9">
        <f>2164.5+0.5</f>
        <v>2165</v>
      </c>
      <c r="E509" s="14"/>
    </row>
    <row r="510" spans="1:5" ht="12.75">
      <c r="A510" s="5" t="s">
        <v>39</v>
      </c>
      <c r="B510" s="4" t="s">
        <v>190</v>
      </c>
      <c r="D510" s="9">
        <v>4900</v>
      </c>
      <c r="E510" s="14"/>
    </row>
    <row r="511" spans="1:5" ht="12.75">
      <c r="A511" s="5" t="s">
        <v>39</v>
      </c>
      <c r="B511" s="4" t="s">
        <v>392</v>
      </c>
      <c r="D511" s="9">
        <f>14118.5+0.5</f>
        <v>14119</v>
      </c>
      <c r="E511" s="14"/>
    </row>
    <row r="512" spans="1:5" ht="12.75">
      <c r="A512" s="5" t="s">
        <v>39</v>
      </c>
      <c r="B512" s="4" t="s">
        <v>393</v>
      </c>
      <c r="D512" s="9">
        <v>389639</v>
      </c>
      <c r="E512" s="14"/>
    </row>
    <row r="513" spans="1:5" ht="12.75">
      <c r="A513" s="5" t="s">
        <v>39</v>
      </c>
      <c r="B513" s="4" t="s">
        <v>340</v>
      </c>
      <c r="D513" s="9">
        <v>28042</v>
      </c>
      <c r="E513" s="14"/>
    </row>
    <row r="514" spans="1:5" ht="12.75">
      <c r="A514" s="5" t="s">
        <v>39</v>
      </c>
      <c r="B514" s="4" t="s">
        <v>341</v>
      </c>
      <c r="D514" s="9">
        <f>5571+310-4500</f>
        <v>1381</v>
      </c>
      <c r="E514" s="14"/>
    </row>
    <row r="515" spans="1:5" ht="12.75">
      <c r="A515" s="5" t="s">
        <v>39</v>
      </c>
      <c r="B515" s="4" t="s">
        <v>342</v>
      </c>
      <c r="D515" s="9">
        <v>8337</v>
      </c>
      <c r="E515" s="14"/>
    </row>
    <row r="516" spans="1:5" ht="12.75">
      <c r="A516" s="5" t="s">
        <v>39</v>
      </c>
      <c r="B516" s="4" t="s">
        <v>674</v>
      </c>
      <c r="D516" s="9">
        <v>7252</v>
      </c>
      <c r="E516" s="14"/>
    </row>
    <row r="517" spans="1:5" ht="12.75">
      <c r="A517" s="5" t="s">
        <v>39</v>
      </c>
      <c r="B517" s="4" t="s">
        <v>675</v>
      </c>
      <c r="D517" s="9">
        <v>2912</v>
      </c>
      <c r="E517" s="14"/>
    </row>
    <row r="518" spans="1:5" ht="12.75">
      <c r="A518" s="5" t="s">
        <v>39</v>
      </c>
      <c r="B518" s="4" t="s">
        <v>676</v>
      </c>
      <c r="D518" s="9">
        <v>2190</v>
      </c>
      <c r="E518" s="14"/>
    </row>
    <row r="519" spans="1:5" ht="12.75">
      <c r="A519" s="5" t="s">
        <v>39</v>
      </c>
      <c r="B519" s="4" t="s">
        <v>346</v>
      </c>
      <c r="D519" s="46">
        <v>4055</v>
      </c>
      <c r="E519" s="14">
        <f>SUM(D503:D519)</f>
        <v>1520315</v>
      </c>
    </row>
    <row r="520" spans="1:5" ht="12.75">
      <c r="A520" s="5" t="s">
        <v>41</v>
      </c>
      <c r="B520" s="4" t="s">
        <v>438</v>
      </c>
      <c r="D520" s="9">
        <v>3635</v>
      </c>
      <c r="E520" s="14"/>
    </row>
    <row r="521" spans="1:5" ht="12.75">
      <c r="A521" s="5" t="s">
        <v>41</v>
      </c>
      <c r="B521" s="4" t="s">
        <v>439</v>
      </c>
      <c r="D521" s="9">
        <v>420</v>
      </c>
      <c r="E521" s="14"/>
    </row>
    <row r="522" spans="1:5" ht="12.75">
      <c r="A522" s="5" t="s">
        <v>41</v>
      </c>
      <c r="B522" s="4" t="s">
        <v>440</v>
      </c>
      <c r="D522" s="9">
        <v>17934</v>
      </c>
      <c r="E522" s="14"/>
    </row>
    <row r="523" spans="1:5" ht="12.75">
      <c r="A523" s="5" t="s">
        <v>41</v>
      </c>
      <c r="B523" s="4" t="s">
        <v>441</v>
      </c>
      <c r="D523" s="9">
        <v>50000</v>
      </c>
      <c r="E523" s="14"/>
    </row>
    <row r="524" spans="1:5" ht="12.75">
      <c r="A524" s="5" t="s">
        <v>41</v>
      </c>
      <c r="B524" s="4" t="s">
        <v>180</v>
      </c>
      <c r="D524" s="9">
        <v>277407</v>
      </c>
      <c r="E524" s="14"/>
    </row>
    <row r="525" spans="1:5" ht="12.75">
      <c r="A525" s="5" t="s">
        <v>41</v>
      </c>
      <c r="B525" s="4" t="s">
        <v>181</v>
      </c>
      <c r="D525" s="9">
        <v>540</v>
      </c>
      <c r="E525" s="14"/>
    </row>
    <row r="526" spans="1:5" ht="12.75">
      <c r="A526" s="5" t="s">
        <v>41</v>
      </c>
      <c r="B526" s="4" t="s">
        <v>182</v>
      </c>
      <c r="D526" s="9">
        <v>1600</v>
      </c>
      <c r="E526" s="14"/>
    </row>
    <row r="527" spans="1:5" ht="12.75">
      <c r="A527" s="5" t="s">
        <v>41</v>
      </c>
      <c r="B527" s="4" t="s">
        <v>388</v>
      </c>
      <c r="D527" s="9">
        <v>32608</v>
      </c>
      <c r="E527" s="14"/>
    </row>
    <row r="528" spans="1:5" ht="12.75">
      <c r="A528" s="5" t="s">
        <v>41</v>
      </c>
      <c r="B528" s="4" t="s">
        <v>442</v>
      </c>
      <c r="D528" s="9">
        <v>39679</v>
      </c>
      <c r="E528" s="14"/>
    </row>
    <row r="529" spans="1:5" ht="12.75">
      <c r="A529" s="5" t="s">
        <v>41</v>
      </c>
      <c r="B529" s="4" t="s">
        <v>443</v>
      </c>
      <c r="D529" s="9">
        <v>20972</v>
      </c>
      <c r="E529" s="14"/>
    </row>
    <row r="530" spans="1:5" ht="12.75">
      <c r="A530" s="5" t="s">
        <v>41</v>
      </c>
      <c r="B530" s="4" t="s">
        <v>444</v>
      </c>
      <c r="D530" s="9">
        <f>522158.32-0.32</f>
        <v>522158</v>
      </c>
      <c r="E530" s="14"/>
    </row>
    <row r="531" spans="1:4" ht="12.75">
      <c r="A531" s="5" t="s">
        <v>41</v>
      </c>
      <c r="B531" s="4" t="s">
        <v>445</v>
      </c>
      <c r="D531" s="9">
        <v>2220</v>
      </c>
    </row>
    <row r="532" spans="1:6" ht="12.75">
      <c r="A532" s="5" t="s">
        <v>41</v>
      </c>
      <c r="B532" s="4" t="s">
        <v>446</v>
      </c>
      <c r="D532" s="46">
        <v>26903</v>
      </c>
      <c r="E532" s="14">
        <f>SUM(D520:D532)</f>
        <v>996076</v>
      </c>
      <c r="F532" s="14">
        <f>SUM(E502:E532)</f>
        <v>3461913</v>
      </c>
    </row>
    <row r="533" ht="12.75">
      <c r="D533" s="9"/>
    </row>
    <row r="534" ht="12.75">
      <c r="D534" s="9"/>
    </row>
    <row r="535" spans="2:4" ht="12.75">
      <c r="B535" s="1" t="s">
        <v>335</v>
      </c>
      <c r="C535" s="2"/>
      <c r="D535" s="3"/>
    </row>
    <row r="536" spans="2:4" ht="15">
      <c r="B536" s="10" t="s">
        <v>2</v>
      </c>
      <c r="C536" s="11"/>
      <c r="D536" s="3" t="s">
        <v>3</v>
      </c>
    </row>
    <row r="537" spans="2:4" ht="12.75">
      <c r="B537" s="11"/>
      <c r="C537" s="13"/>
      <c r="D537" s="12" t="s">
        <v>4</v>
      </c>
    </row>
    <row r="538" spans="1:4" ht="12.75">
      <c r="A538" s="5" t="s">
        <v>38</v>
      </c>
      <c r="B538" s="4" t="s">
        <v>214</v>
      </c>
      <c r="D538" s="9">
        <v>45935</v>
      </c>
    </row>
    <row r="539" spans="1:4" ht="12.75">
      <c r="A539" s="5" t="s">
        <v>38</v>
      </c>
      <c r="B539" s="4" t="s">
        <v>105</v>
      </c>
      <c r="D539" s="9">
        <v>2200</v>
      </c>
    </row>
    <row r="540" spans="1:5" ht="12.75">
      <c r="A540" s="5" t="s">
        <v>38</v>
      </c>
      <c r="B540" s="16" t="s">
        <v>215</v>
      </c>
      <c r="C540" s="3"/>
      <c r="D540" s="46">
        <v>21090</v>
      </c>
      <c r="E540" s="14">
        <f>SUM(D538:D540)</f>
        <v>69225</v>
      </c>
    </row>
    <row r="541" spans="1:4" ht="12.75">
      <c r="A541" s="5" t="s">
        <v>217</v>
      </c>
      <c r="B541" s="16" t="s">
        <v>179</v>
      </c>
      <c r="C541" s="3"/>
      <c r="D541" s="9">
        <v>2954</v>
      </c>
    </row>
    <row r="542" spans="1:5" ht="12.75">
      <c r="A542" s="5" t="s">
        <v>217</v>
      </c>
      <c r="B542" s="16" t="s">
        <v>105</v>
      </c>
      <c r="C542" s="3"/>
      <c r="D542" s="46">
        <v>4550</v>
      </c>
      <c r="E542" s="14">
        <f>SUM(D541:D542)</f>
        <v>7504</v>
      </c>
    </row>
    <row r="543" spans="1:5" ht="12.75">
      <c r="A543" s="5" t="s">
        <v>248</v>
      </c>
      <c r="B543" s="16" t="s">
        <v>179</v>
      </c>
      <c r="C543" s="3"/>
      <c r="D543" s="9">
        <v>74466</v>
      </c>
      <c r="E543" s="14"/>
    </row>
    <row r="544" spans="1:5" ht="12.75">
      <c r="A544" s="5" t="s">
        <v>248</v>
      </c>
      <c r="B544" s="16" t="s">
        <v>253</v>
      </c>
      <c r="C544" s="3"/>
      <c r="D544" s="9">
        <v>73130</v>
      </c>
      <c r="E544" s="14"/>
    </row>
    <row r="545" spans="1:5" ht="12.75">
      <c r="A545" s="5" t="s">
        <v>248</v>
      </c>
      <c r="B545" s="16" t="s">
        <v>254</v>
      </c>
      <c r="C545" s="3"/>
      <c r="D545" s="9">
        <v>1635348</v>
      </c>
      <c r="E545" s="14"/>
    </row>
    <row r="546" spans="1:5" ht="12.75">
      <c r="A546" s="5" t="s">
        <v>248</v>
      </c>
      <c r="B546" s="16" t="s">
        <v>255</v>
      </c>
      <c r="C546" s="3"/>
      <c r="D546" s="9">
        <v>57601</v>
      </c>
      <c r="E546" s="14"/>
    </row>
    <row r="547" spans="1:5" ht="12.75">
      <c r="A547" s="5" t="s">
        <v>248</v>
      </c>
      <c r="B547" s="16" t="s">
        <v>256</v>
      </c>
      <c r="C547" s="3"/>
      <c r="D547" s="9">
        <v>97115</v>
      </c>
      <c r="E547" s="14"/>
    </row>
    <row r="548" spans="1:5" ht="12.75">
      <c r="A548" s="5" t="s">
        <v>248</v>
      </c>
      <c r="B548" s="16" t="s">
        <v>257</v>
      </c>
      <c r="C548" s="3"/>
      <c r="D548" s="9">
        <v>33506</v>
      </c>
      <c r="E548" s="14"/>
    </row>
    <row r="549" spans="1:5" ht="12.75">
      <c r="A549" s="5" t="s">
        <v>248</v>
      </c>
      <c r="B549" s="16" t="s">
        <v>258</v>
      </c>
      <c r="C549" s="3"/>
      <c r="D549" s="46">
        <v>2635</v>
      </c>
      <c r="E549" s="14">
        <f>SUM(D543:D549)</f>
        <v>1973801</v>
      </c>
    </row>
    <row r="550" spans="1:4" ht="12.75">
      <c r="A550" s="5" t="s">
        <v>275</v>
      </c>
      <c r="B550" s="16" t="s">
        <v>253</v>
      </c>
      <c r="C550" s="3"/>
      <c r="D550" s="9">
        <f>33514-1</f>
        <v>33513</v>
      </c>
    </row>
    <row r="551" spans="1:4" ht="12.75">
      <c r="A551" s="5" t="s">
        <v>275</v>
      </c>
      <c r="B551" s="16" t="s">
        <v>283</v>
      </c>
      <c r="C551" s="3"/>
      <c r="D551" s="9">
        <v>57181</v>
      </c>
    </row>
    <row r="552" spans="1:4" ht="12.75">
      <c r="A552" s="5" t="s">
        <v>275</v>
      </c>
      <c r="B552" s="16" t="s">
        <v>285</v>
      </c>
      <c r="C552" s="3"/>
      <c r="D552" s="9">
        <v>77375</v>
      </c>
    </row>
    <row r="553" spans="1:4" ht="12.75">
      <c r="A553" s="5" t="s">
        <v>275</v>
      </c>
      <c r="B553" s="16" t="s">
        <v>284</v>
      </c>
      <c r="C553" s="3"/>
      <c r="D553" s="9">
        <v>28032</v>
      </c>
    </row>
    <row r="554" spans="1:4" ht="12.75">
      <c r="A554" s="5" t="s">
        <v>275</v>
      </c>
      <c r="B554" s="16" t="s">
        <v>286</v>
      </c>
      <c r="C554" s="3"/>
      <c r="D554" s="9">
        <v>18542</v>
      </c>
    </row>
    <row r="555" spans="1:4" ht="12.75">
      <c r="A555" s="5" t="s">
        <v>275</v>
      </c>
      <c r="B555" s="16" t="s">
        <v>287</v>
      </c>
      <c r="C555" s="3"/>
      <c r="D555" s="9">
        <v>21935</v>
      </c>
    </row>
    <row r="556" spans="1:4" ht="12.75">
      <c r="A556" s="5" t="s">
        <v>275</v>
      </c>
      <c r="B556" s="16" t="s">
        <v>288</v>
      </c>
      <c r="C556" s="3"/>
      <c r="D556" s="9">
        <v>17433</v>
      </c>
    </row>
    <row r="557" spans="1:4" ht="12.75">
      <c r="A557" s="5" t="s">
        <v>275</v>
      </c>
      <c r="B557" s="16" t="s">
        <v>289</v>
      </c>
      <c r="C557" s="3"/>
      <c r="D557" s="9">
        <v>29255</v>
      </c>
    </row>
    <row r="558" spans="1:4" ht="12.75">
      <c r="A558" s="5" t="s">
        <v>275</v>
      </c>
      <c r="B558" s="16" t="s">
        <v>290</v>
      </c>
      <c r="C558" s="3"/>
      <c r="D558" s="9">
        <v>8113</v>
      </c>
    </row>
    <row r="559" spans="1:4" ht="12.75">
      <c r="A559" s="5" t="s">
        <v>275</v>
      </c>
      <c r="B559" s="16" t="s">
        <v>291</v>
      </c>
      <c r="C559" s="3"/>
      <c r="D559" s="9">
        <v>35856</v>
      </c>
    </row>
    <row r="560" spans="1:4" ht="12.75">
      <c r="A560" s="5" t="s">
        <v>275</v>
      </c>
      <c r="B560" s="16" t="s">
        <v>292</v>
      </c>
      <c r="C560" s="3"/>
      <c r="D560" s="9">
        <v>17910</v>
      </c>
    </row>
    <row r="561" spans="1:4" ht="12.75">
      <c r="A561" s="5" t="s">
        <v>275</v>
      </c>
      <c r="B561" s="16" t="s">
        <v>293</v>
      </c>
      <c r="C561" s="3"/>
      <c r="D561" s="9">
        <v>57060</v>
      </c>
    </row>
    <row r="562" spans="1:4" ht="12.75">
      <c r="A562" s="5" t="s">
        <v>275</v>
      </c>
      <c r="B562" s="16" t="s">
        <v>294</v>
      </c>
      <c r="C562" s="3"/>
      <c r="D562" s="9">
        <v>15000</v>
      </c>
    </row>
    <row r="563" spans="1:4" ht="12.75">
      <c r="A563" s="5" t="s">
        <v>275</v>
      </c>
      <c r="B563" s="16" t="s">
        <v>295</v>
      </c>
      <c r="C563" s="3"/>
      <c r="D563" s="9">
        <v>59957</v>
      </c>
    </row>
    <row r="564" spans="1:4" ht="12.75">
      <c r="A564" s="5" t="s">
        <v>275</v>
      </c>
      <c r="B564" s="16" t="s">
        <v>296</v>
      </c>
      <c r="C564" s="3"/>
      <c r="D564" s="9">
        <v>27116</v>
      </c>
    </row>
    <row r="565" spans="1:4" ht="12.75">
      <c r="A565" s="5" t="s">
        <v>275</v>
      </c>
      <c r="B565" s="16" t="s">
        <v>297</v>
      </c>
      <c r="C565" s="3"/>
      <c r="D565" s="9">
        <v>51882</v>
      </c>
    </row>
    <row r="566" spans="1:4" ht="12.75">
      <c r="A566" s="5" t="s">
        <v>275</v>
      </c>
      <c r="B566" s="16" t="s">
        <v>298</v>
      </c>
      <c r="C566" s="3"/>
      <c r="D566" s="9">
        <v>28536</v>
      </c>
    </row>
    <row r="567" spans="1:4" ht="12.75">
      <c r="A567" s="5" t="s">
        <v>275</v>
      </c>
      <c r="B567" s="16" t="s">
        <v>299</v>
      </c>
      <c r="C567" s="3"/>
      <c r="D567" s="9">
        <v>42689</v>
      </c>
    </row>
    <row r="568" spans="1:4" ht="12.75">
      <c r="A568" s="5" t="s">
        <v>275</v>
      </c>
      <c r="B568" s="16" t="s">
        <v>300</v>
      </c>
      <c r="C568" s="3"/>
      <c r="D568" s="9">
        <v>39084</v>
      </c>
    </row>
    <row r="569" spans="1:4" ht="12.75">
      <c r="A569" s="5" t="s">
        <v>275</v>
      </c>
      <c r="B569" s="16" t="s">
        <v>301</v>
      </c>
      <c r="C569" s="3"/>
      <c r="D569" s="9">
        <v>8465</v>
      </c>
    </row>
    <row r="570" spans="1:4" ht="12.75">
      <c r="A570" s="5" t="s">
        <v>275</v>
      </c>
      <c r="B570" s="16" t="s">
        <v>302</v>
      </c>
      <c r="C570" s="3"/>
      <c r="D570" s="9">
        <v>7907</v>
      </c>
    </row>
    <row r="571" spans="1:4" ht="12.75">
      <c r="A571" s="5" t="s">
        <v>275</v>
      </c>
      <c r="B571" s="16" t="s">
        <v>303</v>
      </c>
      <c r="C571" s="3"/>
      <c r="D571" s="9">
        <v>9701</v>
      </c>
    </row>
    <row r="572" spans="1:4" ht="12.75">
      <c r="A572" s="5" t="s">
        <v>275</v>
      </c>
      <c r="B572" s="16" t="s">
        <v>304</v>
      </c>
      <c r="C572" s="3"/>
      <c r="D572" s="9">
        <v>4606</v>
      </c>
    </row>
    <row r="573" spans="1:4" ht="12.75">
      <c r="A573" s="5" t="s">
        <v>275</v>
      </c>
      <c r="B573" s="16" t="s">
        <v>305</v>
      </c>
      <c r="C573" s="3"/>
      <c r="D573" s="9">
        <v>4607</v>
      </c>
    </row>
    <row r="574" spans="1:4" ht="12.75">
      <c r="A574" s="5" t="s">
        <v>275</v>
      </c>
      <c r="B574" s="16" t="s">
        <v>306</v>
      </c>
      <c r="C574" s="3"/>
      <c r="D574" s="9">
        <v>4977</v>
      </c>
    </row>
    <row r="575" spans="1:4" ht="12.75">
      <c r="A575" s="5" t="s">
        <v>275</v>
      </c>
      <c r="B575" s="16" t="s">
        <v>307</v>
      </c>
      <c r="C575" s="3"/>
      <c r="D575" s="9">
        <v>374</v>
      </c>
    </row>
    <row r="576" spans="1:4" ht="12.75">
      <c r="A576" s="5" t="s">
        <v>275</v>
      </c>
      <c r="B576" s="16" t="s">
        <v>308</v>
      </c>
      <c r="C576" s="3"/>
      <c r="D576" s="9">
        <v>28906</v>
      </c>
    </row>
    <row r="577" spans="1:4" ht="12.75">
      <c r="A577" s="5" t="s">
        <v>275</v>
      </c>
      <c r="B577" s="16" t="s">
        <v>309</v>
      </c>
      <c r="C577" s="3"/>
      <c r="D577" s="9">
        <v>1583</v>
      </c>
    </row>
    <row r="578" spans="1:4" ht="12.75">
      <c r="A578" s="5" t="s">
        <v>275</v>
      </c>
      <c r="B578" s="16" t="s">
        <v>310</v>
      </c>
      <c r="C578" s="3"/>
      <c r="D578" s="9">
        <v>1757</v>
      </c>
    </row>
    <row r="579" spans="1:4" ht="12.75">
      <c r="A579" s="5" t="s">
        <v>275</v>
      </c>
      <c r="B579" s="16" t="s">
        <v>311</v>
      </c>
      <c r="C579" s="3"/>
      <c r="D579" s="9">
        <v>100</v>
      </c>
    </row>
    <row r="580" spans="1:4" ht="12.75">
      <c r="A580" s="5" t="s">
        <v>275</v>
      </c>
      <c r="B580" s="16" t="s">
        <v>312</v>
      </c>
      <c r="C580" s="3"/>
      <c r="D580" s="9">
        <v>1742</v>
      </c>
    </row>
    <row r="581" spans="1:4" ht="12.75">
      <c r="A581" s="5" t="s">
        <v>275</v>
      </c>
      <c r="B581" s="16" t="s">
        <v>313</v>
      </c>
      <c r="C581" s="3"/>
      <c r="D581" s="9">
        <v>29853</v>
      </c>
    </row>
    <row r="582" spans="1:4" ht="12.75">
      <c r="A582" s="5" t="s">
        <v>275</v>
      </c>
      <c r="B582" s="16" t="s">
        <v>314</v>
      </c>
      <c r="C582" s="3"/>
      <c r="D582" s="9">
        <v>27972</v>
      </c>
    </row>
    <row r="583" spans="1:4" ht="12.75">
      <c r="A583" s="5" t="s">
        <v>275</v>
      </c>
      <c r="B583" s="16" t="s">
        <v>315</v>
      </c>
      <c r="C583" s="3"/>
      <c r="D583" s="9">
        <v>25420</v>
      </c>
    </row>
    <row r="584" spans="1:5" ht="12.75">
      <c r="A584" s="5" t="s">
        <v>275</v>
      </c>
      <c r="B584" s="16" t="s">
        <v>316</v>
      </c>
      <c r="C584" s="3"/>
      <c r="D584" s="46">
        <v>1275</v>
      </c>
      <c r="E584" s="14">
        <f>SUM(D550:D584)</f>
        <v>825714</v>
      </c>
    </row>
    <row r="585" spans="1:4" ht="12.75">
      <c r="A585" s="5" t="s">
        <v>39</v>
      </c>
      <c r="B585" s="16" t="s">
        <v>179</v>
      </c>
      <c r="C585" s="3"/>
      <c r="D585" s="9">
        <v>52865</v>
      </c>
    </row>
    <row r="586" spans="1:5" ht="12.75">
      <c r="A586" s="5" t="s">
        <v>39</v>
      </c>
      <c r="B586" s="16" t="s">
        <v>395</v>
      </c>
      <c r="C586" s="3"/>
      <c r="D586" s="46">
        <v>872284</v>
      </c>
      <c r="E586" s="14">
        <f>SUM(D585:D586)</f>
        <v>925149</v>
      </c>
    </row>
    <row r="587" spans="1:5" ht="12.75">
      <c r="A587" s="5" t="s">
        <v>36</v>
      </c>
      <c r="B587" s="16" t="s">
        <v>179</v>
      </c>
      <c r="C587" s="3"/>
      <c r="D587" s="9">
        <v>32913</v>
      </c>
      <c r="E587" s="14"/>
    </row>
    <row r="588" spans="1:5" ht="12.75">
      <c r="A588" s="5" t="s">
        <v>36</v>
      </c>
      <c r="B588" s="16" t="s">
        <v>395</v>
      </c>
      <c r="C588" s="3"/>
      <c r="D588" s="46">
        <v>201952</v>
      </c>
      <c r="E588" s="14">
        <f>SUM(D587:D588)</f>
        <v>234865</v>
      </c>
    </row>
    <row r="589" spans="1:5" ht="12.75">
      <c r="A589" s="5" t="s">
        <v>41</v>
      </c>
      <c r="B589" s="16" t="s">
        <v>179</v>
      </c>
      <c r="C589" s="3"/>
      <c r="D589" s="9">
        <v>17689</v>
      </c>
      <c r="E589" s="14"/>
    </row>
    <row r="590" spans="1:5" ht="12.75">
      <c r="A590" s="5" t="s">
        <v>41</v>
      </c>
      <c r="B590" s="16" t="s">
        <v>105</v>
      </c>
      <c r="C590" s="3"/>
      <c r="D590" s="46">
        <f>367613.98+0.02</f>
        <v>367614</v>
      </c>
      <c r="E590" s="14">
        <f>SUM(D589:D590)</f>
        <v>385303</v>
      </c>
    </row>
    <row r="591" spans="2:4" ht="12.75">
      <c r="B591" s="16"/>
      <c r="C591" s="3"/>
      <c r="D591" s="9"/>
    </row>
    <row r="592" spans="2:4" ht="12.75">
      <c r="B592" s="16"/>
      <c r="C592" s="3"/>
      <c r="D592" s="9"/>
    </row>
    <row r="593" spans="2:4" ht="12.75">
      <c r="B593" s="1" t="s">
        <v>336</v>
      </c>
      <c r="C593" s="2"/>
      <c r="D593" s="45"/>
    </row>
    <row r="594" spans="2:4" ht="15">
      <c r="B594" s="10" t="s">
        <v>2</v>
      </c>
      <c r="C594" s="11"/>
      <c r="D594" s="3" t="s">
        <v>3</v>
      </c>
    </row>
    <row r="595" spans="2:4" ht="12.75">
      <c r="B595" s="11"/>
      <c r="C595" s="13"/>
      <c r="D595" s="12" t="s">
        <v>4</v>
      </c>
    </row>
    <row r="596" spans="1:5" ht="12.75">
      <c r="A596" s="5" t="s">
        <v>38</v>
      </c>
      <c r="B596" s="11" t="s">
        <v>209</v>
      </c>
      <c r="C596" s="13"/>
      <c r="D596" s="47">
        <f>528.18-0.18+1</f>
        <v>529</v>
      </c>
      <c r="E596" s="14">
        <f>D596</f>
        <v>529</v>
      </c>
    </row>
    <row r="597" spans="1:4" ht="12.75">
      <c r="A597" s="5" t="s">
        <v>77</v>
      </c>
      <c r="B597" s="4" t="s">
        <v>209</v>
      </c>
      <c r="D597" s="9">
        <v>5684</v>
      </c>
    </row>
    <row r="598" spans="1:5" ht="12.75">
      <c r="A598" s="5" t="s">
        <v>77</v>
      </c>
      <c r="B598" s="4" t="s">
        <v>394</v>
      </c>
      <c r="D598" s="46">
        <f>114797.04-0.04</f>
        <v>114797</v>
      </c>
      <c r="E598" s="14">
        <f>SUM(D597:D598)</f>
        <v>120481</v>
      </c>
    </row>
    <row r="599" spans="1:5" ht="12.75">
      <c r="A599" s="5" t="s">
        <v>275</v>
      </c>
      <c r="B599" s="4" t="s">
        <v>209</v>
      </c>
      <c r="D599" s="9">
        <v>140</v>
      </c>
      <c r="E599" s="14">
        <f>D599</f>
        <v>140</v>
      </c>
    </row>
    <row r="600" spans="1:5" ht="12.75">
      <c r="A600" s="5" t="s">
        <v>39</v>
      </c>
      <c r="B600" s="16" t="s">
        <v>394</v>
      </c>
      <c r="C600" s="16"/>
      <c r="D600" s="51">
        <f>79281.86+0.14</f>
        <v>79282</v>
      </c>
      <c r="E600" s="18">
        <f>D600</f>
        <v>79282</v>
      </c>
    </row>
    <row r="601" spans="1:5" ht="12.75">
      <c r="A601" s="5" t="s">
        <v>41</v>
      </c>
      <c r="B601" s="16" t="s">
        <v>209</v>
      </c>
      <c r="C601" s="16"/>
      <c r="D601" s="18">
        <f>532.06-0.06</f>
        <v>532</v>
      </c>
      <c r="E601" s="16"/>
    </row>
    <row r="602" spans="1:5" ht="12.75">
      <c r="A602" s="5" t="s">
        <v>41</v>
      </c>
      <c r="B602" s="16" t="s">
        <v>394</v>
      </c>
      <c r="C602" s="16"/>
      <c r="D602" s="47">
        <f>46018.41-0.41</f>
        <v>46018</v>
      </c>
      <c r="E602" s="18">
        <f>SUM(D601:D602)</f>
        <v>46550</v>
      </c>
    </row>
    <row r="603" spans="4:5" ht="12.75">
      <c r="D603" s="9"/>
      <c r="E603" s="16"/>
    </row>
    <row r="604" spans="2:5" ht="12.75">
      <c r="B604" s="16"/>
      <c r="C604" s="16"/>
      <c r="D604" s="18"/>
      <c r="E604" s="16"/>
    </row>
    <row r="605" spans="2:4" ht="12.75">
      <c r="B605" s="1" t="s">
        <v>337</v>
      </c>
      <c r="C605" s="2"/>
      <c r="D605" s="3"/>
    </row>
    <row r="606" spans="2:4" ht="15">
      <c r="B606" s="10" t="s">
        <v>2</v>
      </c>
      <c r="C606" s="11"/>
      <c r="D606" s="3" t="s">
        <v>3</v>
      </c>
    </row>
    <row r="607" spans="2:4" ht="12.75">
      <c r="B607" s="11"/>
      <c r="C607" s="13"/>
      <c r="D607" s="12" t="s">
        <v>4</v>
      </c>
    </row>
    <row r="608" spans="1:5" ht="12.75">
      <c r="A608" s="16" t="s">
        <v>38</v>
      </c>
      <c r="B608" s="16" t="s">
        <v>73</v>
      </c>
      <c r="C608" s="18"/>
      <c r="D608" s="47">
        <v>3000</v>
      </c>
      <c r="E608" s="14">
        <f>D608</f>
        <v>3000</v>
      </c>
    </row>
    <row r="609" spans="1:4" ht="12.75">
      <c r="A609" s="5" t="s">
        <v>77</v>
      </c>
      <c r="B609" s="4" t="s">
        <v>261</v>
      </c>
      <c r="D609" s="9">
        <v>219200</v>
      </c>
    </row>
    <row r="610" spans="1:4" ht="12.75">
      <c r="A610" s="5" t="s">
        <v>77</v>
      </c>
      <c r="B610" s="4" t="s">
        <v>262</v>
      </c>
      <c r="D610" s="9">
        <v>1198941</v>
      </c>
    </row>
    <row r="611" spans="1:4" ht="12.75">
      <c r="A611" s="5" t="s">
        <v>77</v>
      </c>
      <c r="B611" s="4" t="s">
        <v>197</v>
      </c>
      <c r="D611" s="9">
        <v>73439</v>
      </c>
    </row>
    <row r="612" spans="1:4" ht="12.75">
      <c r="A612" s="5" t="s">
        <v>77</v>
      </c>
      <c r="B612" s="4" t="s">
        <v>263</v>
      </c>
      <c r="D612" s="9">
        <v>135753</v>
      </c>
    </row>
    <row r="613" spans="1:4" ht="12.75">
      <c r="A613" s="5" t="s">
        <v>77</v>
      </c>
      <c r="B613" s="4" t="s">
        <v>73</v>
      </c>
      <c r="D613" s="9">
        <f>17596296.4-0.4</f>
        <v>17596296</v>
      </c>
    </row>
    <row r="614" spans="1:4" ht="12.75">
      <c r="A614" s="5" t="s">
        <v>77</v>
      </c>
      <c r="B614" s="4" t="s">
        <v>264</v>
      </c>
      <c r="D614" s="9">
        <v>150295</v>
      </c>
    </row>
    <row r="615" spans="1:4" ht="12.75">
      <c r="A615" s="5" t="s">
        <v>77</v>
      </c>
      <c r="B615" s="4" t="s">
        <v>265</v>
      </c>
      <c r="D615" s="9">
        <v>27273</v>
      </c>
    </row>
    <row r="616" spans="1:5" ht="12.75">
      <c r="A616" s="5" t="s">
        <v>77</v>
      </c>
      <c r="B616" s="4" t="s">
        <v>266</v>
      </c>
      <c r="D616" s="46">
        <v>6873</v>
      </c>
      <c r="E616" s="14">
        <f>SUM(D609:D616)</f>
        <v>19408070</v>
      </c>
    </row>
    <row r="617" spans="1:5" ht="12.75">
      <c r="A617" s="5" t="s">
        <v>217</v>
      </c>
      <c r="B617" s="4" t="s">
        <v>243</v>
      </c>
      <c r="D617" s="9">
        <f>1119.3-0.3</f>
        <v>1119</v>
      </c>
      <c r="E617" s="14"/>
    </row>
    <row r="618" spans="1:5" ht="12.75">
      <c r="A618" s="5" t="s">
        <v>217</v>
      </c>
      <c r="B618" s="4" t="s">
        <v>244</v>
      </c>
      <c r="D618" s="9">
        <v>28040</v>
      </c>
      <c r="E618" s="14"/>
    </row>
    <row r="619" spans="1:5" ht="12.75">
      <c r="A619" s="5" t="s">
        <v>217</v>
      </c>
      <c r="B619" s="4" t="s">
        <v>245</v>
      </c>
      <c r="D619" s="9">
        <v>2595</v>
      </c>
      <c r="E619" s="14"/>
    </row>
    <row r="620" spans="1:5" ht="12.75">
      <c r="A620" s="5" t="s">
        <v>217</v>
      </c>
      <c r="B620" s="4" t="s">
        <v>246</v>
      </c>
      <c r="D620" s="46">
        <v>327494</v>
      </c>
      <c r="E620" s="14">
        <f>SUM(D617:D620)</f>
        <v>359248</v>
      </c>
    </row>
    <row r="621" spans="1:5" ht="12.75">
      <c r="A621" s="5" t="s">
        <v>248</v>
      </c>
      <c r="B621" s="4" t="s">
        <v>260</v>
      </c>
      <c r="D621" s="9">
        <v>12163</v>
      </c>
      <c r="E621" s="14"/>
    </row>
    <row r="622" spans="1:5" ht="12.75">
      <c r="A622" s="5" t="s">
        <v>248</v>
      </c>
      <c r="B622" s="4" t="s">
        <v>267</v>
      </c>
      <c r="D622" s="46">
        <v>30000</v>
      </c>
      <c r="E622" s="14">
        <f>SUM(D621:D622)</f>
        <v>42163</v>
      </c>
    </row>
    <row r="623" spans="1:5" ht="12.75">
      <c r="A623" s="5" t="s">
        <v>275</v>
      </c>
      <c r="B623" s="4" t="s">
        <v>73</v>
      </c>
      <c r="D623" s="9">
        <v>3429680</v>
      </c>
      <c r="E623" s="14"/>
    </row>
    <row r="624" spans="1:5" ht="12.75">
      <c r="A624" s="5" t="s">
        <v>275</v>
      </c>
      <c r="B624" s="4" t="s">
        <v>261</v>
      </c>
      <c r="D624" s="9">
        <v>1550</v>
      </c>
      <c r="E624" s="14"/>
    </row>
    <row r="625" spans="1:5" ht="12.75">
      <c r="A625" s="5" t="s">
        <v>275</v>
      </c>
      <c r="B625" s="4" t="s">
        <v>197</v>
      </c>
      <c r="D625" s="9">
        <v>27834</v>
      </c>
      <c r="E625" s="14"/>
    </row>
    <row r="626" spans="1:5" ht="12.75">
      <c r="A626" s="5" t="s">
        <v>275</v>
      </c>
      <c r="B626" s="4" t="s">
        <v>245</v>
      </c>
      <c r="D626" s="9">
        <v>27098</v>
      </c>
      <c r="E626" s="14"/>
    </row>
    <row r="627" spans="1:5" ht="12.75">
      <c r="A627" s="5" t="s">
        <v>275</v>
      </c>
      <c r="B627" s="4" t="s">
        <v>195</v>
      </c>
      <c r="D627" s="46">
        <v>60526</v>
      </c>
      <c r="E627" s="14">
        <f>SUM(D623:D627)</f>
        <v>3546688</v>
      </c>
    </row>
    <row r="628" spans="1:5" ht="12.75">
      <c r="A628" s="5" t="s">
        <v>39</v>
      </c>
      <c r="B628" s="4" t="s">
        <v>73</v>
      </c>
      <c r="D628" s="9">
        <f>15317014.5+0.5</f>
        <v>15317015</v>
      </c>
      <c r="E628" s="14"/>
    </row>
    <row r="629" spans="1:5" ht="12.75">
      <c r="A629" s="5" t="s">
        <v>39</v>
      </c>
      <c r="B629" s="4" t="s">
        <v>261</v>
      </c>
      <c r="D629" s="9">
        <v>88400</v>
      </c>
      <c r="E629" s="14"/>
    </row>
    <row r="630" spans="1:5" ht="12.75">
      <c r="A630" s="5" t="s">
        <v>39</v>
      </c>
      <c r="B630" s="4" t="s">
        <v>262</v>
      </c>
      <c r="D630" s="9">
        <v>461699</v>
      </c>
      <c r="E630" s="14"/>
    </row>
    <row r="631" spans="1:5" ht="12.75">
      <c r="A631" s="5" t="s">
        <v>39</v>
      </c>
      <c r="B631" s="4" t="s">
        <v>197</v>
      </c>
      <c r="D631" s="9">
        <v>26957</v>
      </c>
      <c r="E631" s="14"/>
    </row>
    <row r="632" spans="1:5" ht="12.75">
      <c r="A632" s="5" t="s">
        <v>39</v>
      </c>
      <c r="B632" s="4" t="s">
        <v>245</v>
      </c>
      <c r="D632" s="9">
        <v>130605</v>
      </c>
      <c r="E632" s="14"/>
    </row>
    <row r="633" spans="1:5" ht="12.75">
      <c r="A633" s="5" t="s">
        <v>39</v>
      </c>
      <c r="B633" s="4" t="s">
        <v>195</v>
      </c>
      <c r="D633" s="9">
        <f>17383.5+0.5</f>
        <v>17384</v>
      </c>
      <c r="E633" s="14"/>
    </row>
    <row r="634" spans="1:5" ht="12.75">
      <c r="A634" s="5" t="s">
        <v>39</v>
      </c>
      <c r="B634" s="4" t="s">
        <v>266</v>
      </c>
      <c r="D634" s="46">
        <v>32495</v>
      </c>
      <c r="E634" s="14">
        <f>SUM(D628:D634)</f>
        <v>16074555</v>
      </c>
    </row>
    <row r="635" spans="1:5" ht="12.75">
      <c r="A635" s="5" t="s">
        <v>36</v>
      </c>
      <c r="B635" s="4" t="s">
        <v>73</v>
      </c>
      <c r="D635" s="9">
        <v>910806</v>
      </c>
      <c r="E635" s="14"/>
    </row>
    <row r="636" spans="1:5" ht="12.75">
      <c r="A636" s="5" t="s">
        <v>36</v>
      </c>
      <c r="B636" s="4" t="s">
        <v>261</v>
      </c>
      <c r="D636" s="9">
        <v>30000</v>
      </c>
      <c r="E636" s="14"/>
    </row>
    <row r="637" spans="1:5" ht="12.75">
      <c r="A637" s="5" t="s">
        <v>36</v>
      </c>
      <c r="B637" s="4" t="s">
        <v>412</v>
      </c>
      <c r="D637" s="9">
        <v>501</v>
      </c>
      <c r="E637" s="14"/>
    </row>
    <row r="638" spans="1:5" ht="12.75">
      <c r="A638" s="5" t="s">
        <v>36</v>
      </c>
      <c r="B638" s="4" t="s">
        <v>267</v>
      </c>
      <c r="D638" s="9">
        <v>169919</v>
      </c>
      <c r="E638" s="14"/>
    </row>
    <row r="639" spans="1:5" ht="12.75">
      <c r="A639" s="5" t="s">
        <v>36</v>
      </c>
      <c r="B639" s="4" t="s">
        <v>197</v>
      </c>
      <c r="D639" s="9">
        <v>6075</v>
      </c>
      <c r="E639" s="14"/>
    </row>
    <row r="640" spans="1:5" ht="12.75">
      <c r="A640" s="5" t="s">
        <v>36</v>
      </c>
      <c r="B640" s="4" t="s">
        <v>245</v>
      </c>
      <c r="D640" s="9">
        <v>12475</v>
      </c>
      <c r="E640" s="14"/>
    </row>
    <row r="641" spans="1:5" ht="12.75">
      <c r="A641" s="5" t="s">
        <v>36</v>
      </c>
      <c r="B641" s="4" t="s">
        <v>260</v>
      </c>
      <c r="D641" s="46">
        <v>15765</v>
      </c>
      <c r="E641" s="14">
        <f>SUM(D635:D641)</f>
        <v>1145541</v>
      </c>
    </row>
    <row r="642" spans="1:5" ht="12.75">
      <c r="A642" s="5" t="s">
        <v>41</v>
      </c>
      <c r="B642" s="4" t="s">
        <v>73</v>
      </c>
      <c r="D642" s="9">
        <f>4971505.8+0.2</f>
        <v>4971506</v>
      </c>
      <c r="E642" s="14"/>
    </row>
    <row r="643" spans="1:5" ht="12.75">
      <c r="A643" s="5" t="s">
        <v>41</v>
      </c>
      <c r="B643" s="4" t="s">
        <v>261</v>
      </c>
      <c r="D643" s="9">
        <v>13400</v>
      </c>
      <c r="E643" s="14"/>
    </row>
    <row r="644" spans="1:5" ht="12.75">
      <c r="A644" s="5" t="s">
        <v>41</v>
      </c>
      <c r="B644" s="4" t="s">
        <v>262</v>
      </c>
      <c r="D644" s="9">
        <v>74338</v>
      </c>
      <c r="E644" s="14"/>
    </row>
    <row r="645" spans="1:5" ht="12.75">
      <c r="A645" s="5" t="s">
        <v>41</v>
      </c>
      <c r="B645" s="4" t="s">
        <v>197</v>
      </c>
      <c r="D645" s="9">
        <v>12765</v>
      </c>
      <c r="E645" s="14"/>
    </row>
    <row r="646" spans="1:5" ht="12.75">
      <c r="A646" s="5" t="s">
        <v>41</v>
      </c>
      <c r="B646" s="4" t="s">
        <v>245</v>
      </c>
      <c r="D646" s="9">
        <v>32849</v>
      </c>
      <c r="E646" s="14"/>
    </row>
    <row r="647" spans="1:5" ht="12.75">
      <c r="A647" s="5" t="s">
        <v>41</v>
      </c>
      <c r="B647" s="4" t="s">
        <v>195</v>
      </c>
      <c r="D647" s="9">
        <v>2150</v>
      </c>
      <c r="E647" s="14"/>
    </row>
    <row r="648" spans="1:6" ht="12.75">
      <c r="A648" s="5" t="s">
        <v>41</v>
      </c>
      <c r="B648" s="16" t="s">
        <v>260</v>
      </c>
      <c r="C648" s="16"/>
      <c r="D648" s="47">
        <v>6318</v>
      </c>
      <c r="E648" s="18">
        <f>SUM(D642:D648)</f>
        <v>5113326</v>
      </c>
      <c r="F648" s="16"/>
    </row>
    <row r="649" spans="2:6" ht="12.75">
      <c r="B649" s="16"/>
      <c r="C649" s="16"/>
      <c r="D649" s="16"/>
      <c r="E649" s="16"/>
      <c r="F649" s="16"/>
    </row>
    <row r="650" spans="2:6" ht="12.75">
      <c r="B650" s="16"/>
      <c r="C650" s="16"/>
      <c r="D650" s="16"/>
      <c r="E650" s="16"/>
      <c r="F650" s="16"/>
    </row>
    <row r="651" spans="2:6" ht="12.75">
      <c r="B651" s="16"/>
      <c r="C651" s="16"/>
      <c r="D651" s="16"/>
      <c r="E651" s="16"/>
      <c r="F651" s="16"/>
    </row>
    <row r="652" spans="2:4" ht="12.75">
      <c r="B652" s="1" t="s">
        <v>338</v>
      </c>
      <c r="C652" s="2"/>
      <c r="D652" s="3"/>
    </row>
    <row r="653" spans="2:4" ht="15">
      <c r="B653" s="10" t="s">
        <v>2</v>
      </c>
      <c r="C653" s="11"/>
      <c r="D653" s="3" t="s">
        <v>3</v>
      </c>
    </row>
    <row r="654" spans="2:4" ht="12.75">
      <c r="B654" s="11"/>
      <c r="C654" s="13"/>
      <c r="D654" s="12" t="s">
        <v>4</v>
      </c>
    </row>
    <row r="655" spans="1:4" ht="12.75">
      <c r="A655" s="16"/>
      <c r="B655" s="16"/>
      <c r="C655" s="18"/>
      <c r="D655" s="18"/>
    </row>
    <row r="656" spans="1:4" ht="12.75">
      <c r="A656" s="16" t="s">
        <v>38</v>
      </c>
      <c r="B656" s="16" t="s">
        <v>106</v>
      </c>
      <c r="C656" s="18"/>
      <c r="D656" s="18">
        <f>220365.12-0.12</f>
        <v>220365</v>
      </c>
    </row>
    <row r="657" spans="1:5" ht="12.75">
      <c r="A657" s="16" t="s">
        <v>38</v>
      </c>
      <c r="B657" s="16" t="s">
        <v>216</v>
      </c>
      <c r="C657" s="18"/>
      <c r="D657" s="47">
        <v>289800</v>
      </c>
      <c r="E657" s="14">
        <f>SUM(D656:D657)</f>
        <v>510165</v>
      </c>
    </row>
    <row r="658" spans="1:4" ht="12.75">
      <c r="A658" s="16" t="s">
        <v>77</v>
      </c>
      <c r="B658" s="16" t="s">
        <v>106</v>
      </c>
      <c r="C658" s="16"/>
      <c r="D658" s="18">
        <v>163599</v>
      </c>
    </row>
    <row r="659" spans="1:5" ht="12.75">
      <c r="A659" s="5" t="s">
        <v>77</v>
      </c>
      <c r="B659" s="4" t="s">
        <v>107</v>
      </c>
      <c r="D659" s="9">
        <f>24333.5+11500+11714+45600+9795.5+34629.5+50226+965+11783+32890+0.5</f>
        <v>233437</v>
      </c>
      <c r="E659" s="2"/>
    </row>
    <row r="660" spans="1:5" ht="12.75">
      <c r="A660" s="5" t="s">
        <v>77</v>
      </c>
      <c r="B660" s="4" t="s">
        <v>396</v>
      </c>
      <c r="D660" s="46">
        <v>659181</v>
      </c>
      <c r="E660" s="48">
        <f>SUM(D658:D660)</f>
        <v>1056217</v>
      </c>
    </row>
    <row r="661" spans="1:5" ht="12.75">
      <c r="A661" s="5" t="s">
        <v>217</v>
      </c>
      <c r="B661" s="4" t="s">
        <v>106</v>
      </c>
      <c r="D661" s="9">
        <v>19686</v>
      </c>
      <c r="E661" s="48"/>
    </row>
    <row r="662" spans="1:5" ht="12.75">
      <c r="A662" s="5" t="s">
        <v>217</v>
      </c>
      <c r="B662" s="4" t="s">
        <v>413</v>
      </c>
      <c r="D662" s="9">
        <f>5763.8+0.2</f>
        <v>5764</v>
      </c>
      <c r="E662" s="48"/>
    </row>
    <row r="663" spans="1:5" ht="12.75">
      <c r="A663" s="5" t="s">
        <v>217</v>
      </c>
      <c r="B663" s="4" t="s">
        <v>247</v>
      </c>
      <c r="D663" s="46">
        <v>201</v>
      </c>
      <c r="E663" s="48">
        <f>SUM(D661:D663)</f>
        <v>25651</v>
      </c>
    </row>
    <row r="664" spans="1:5" ht="12.75">
      <c r="A664" s="5" t="s">
        <v>248</v>
      </c>
      <c r="B664" s="4" t="s">
        <v>106</v>
      </c>
      <c r="D664" s="49">
        <v>14790</v>
      </c>
      <c r="E664" s="48">
        <f>D664</f>
        <v>14790</v>
      </c>
    </row>
    <row r="665" spans="1:5" ht="12.75">
      <c r="A665" s="5" t="s">
        <v>275</v>
      </c>
      <c r="B665" s="4" t="s">
        <v>106</v>
      </c>
      <c r="D665" s="49">
        <v>13114</v>
      </c>
      <c r="E665" s="48">
        <f>D665</f>
        <v>13114</v>
      </c>
    </row>
    <row r="666" spans="1:5" ht="12.75">
      <c r="A666" s="5" t="s">
        <v>39</v>
      </c>
      <c r="B666" s="4" t="s">
        <v>106</v>
      </c>
      <c r="D666" s="9">
        <f>254139.02-0.02</f>
        <v>254139</v>
      </c>
      <c r="E666" s="48"/>
    </row>
    <row r="667" spans="1:5" ht="12.75">
      <c r="A667" s="5" t="s">
        <v>39</v>
      </c>
      <c r="B667" s="4" t="s">
        <v>107</v>
      </c>
      <c r="D667" s="9">
        <v>597207</v>
      </c>
      <c r="E667" s="48"/>
    </row>
    <row r="668" spans="1:5" ht="12.75">
      <c r="A668" s="5" t="s">
        <v>39</v>
      </c>
      <c r="B668" s="4" t="s">
        <v>396</v>
      </c>
      <c r="D668" s="46">
        <f>398150.33-0.33</f>
        <v>398150</v>
      </c>
      <c r="E668" s="48">
        <f>SUM(D666:D668)</f>
        <v>1249496</v>
      </c>
    </row>
    <row r="669" spans="1:5" ht="12.75">
      <c r="A669" s="5" t="s">
        <v>36</v>
      </c>
      <c r="B669" s="4" t="s">
        <v>106</v>
      </c>
      <c r="D669" s="9">
        <v>76499</v>
      </c>
      <c r="E669" s="48"/>
    </row>
    <row r="670" spans="1:5" ht="12.75">
      <c r="A670" s="5" t="s">
        <v>36</v>
      </c>
      <c r="B670" s="4" t="s">
        <v>413</v>
      </c>
      <c r="D670" s="9">
        <v>11710</v>
      </c>
      <c r="E670" s="48"/>
    </row>
    <row r="671" spans="1:5" ht="12.75">
      <c r="A671" s="5" t="s">
        <v>36</v>
      </c>
      <c r="B671" s="4" t="s">
        <v>168</v>
      </c>
      <c r="D671" s="9">
        <v>40</v>
      </c>
      <c r="E671" s="48"/>
    </row>
    <row r="672" spans="1:5" ht="12.75">
      <c r="A672" s="5" t="s">
        <v>36</v>
      </c>
      <c r="B672" s="4" t="s">
        <v>396</v>
      </c>
      <c r="D672" s="46">
        <v>60000</v>
      </c>
      <c r="E672" s="48">
        <f>SUM(D669:D672)</f>
        <v>148249</v>
      </c>
    </row>
    <row r="673" spans="1:5" ht="12.75">
      <c r="A673" s="5" t="s">
        <v>41</v>
      </c>
      <c r="B673" s="4" t="s">
        <v>447</v>
      </c>
      <c r="D673" s="9">
        <v>1996290</v>
      </c>
      <c r="E673" s="48"/>
    </row>
    <row r="674" spans="1:5" ht="12.75">
      <c r="A674" s="5" t="s">
        <v>41</v>
      </c>
      <c r="B674" s="4" t="s">
        <v>106</v>
      </c>
      <c r="D674" s="9">
        <f>608713.76+0.24</f>
        <v>608714</v>
      </c>
      <c r="E674" s="48"/>
    </row>
    <row r="675" spans="1:5" ht="12.75">
      <c r="A675" s="5" t="s">
        <v>41</v>
      </c>
      <c r="B675" s="4" t="s">
        <v>107</v>
      </c>
      <c r="D675" s="9">
        <v>532339</v>
      </c>
      <c r="E675" s="48"/>
    </row>
    <row r="676" spans="1:5" ht="12.75">
      <c r="A676" s="5" t="s">
        <v>41</v>
      </c>
      <c r="B676" s="4" t="s">
        <v>448</v>
      </c>
      <c r="D676" s="9">
        <v>212287</v>
      </c>
      <c r="E676" s="48"/>
    </row>
    <row r="677" spans="1:6" ht="12.75">
      <c r="A677" s="5" t="s">
        <v>41</v>
      </c>
      <c r="B677" s="4" t="s">
        <v>396</v>
      </c>
      <c r="D677" s="46">
        <v>34807</v>
      </c>
      <c r="E677" s="48">
        <f>SUM(D673:D677)</f>
        <v>3384437</v>
      </c>
      <c r="F677" s="14">
        <f>SUM(E657:E677)</f>
        <v>6402119</v>
      </c>
    </row>
    <row r="678" spans="4:5" ht="12.75">
      <c r="D678" s="9"/>
      <c r="E678" s="48"/>
    </row>
    <row r="679" spans="3:5" ht="12.75">
      <c r="C679" s="2"/>
      <c r="D679" s="8"/>
      <c r="E679" s="4"/>
    </row>
    <row r="680" spans="2:5" ht="12.75">
      <c r="B680" s="1" t="s">
        <v>339</v>
      </c>
      <c r="C680" s="2"/>
      <c r="D680" s="3"/>
      <c r="E680" s="4"/>
    </row>
    <row r="681" spans="2:5" ht="15">
      <c r="B681" s="10" t="s">
        <v>2</v>
      </c>
      <c r="C681" s="11"/>
      <c r="D681" s="3" t="s">
        <v>3</v>
      </c>
      <c r="E681" s="4"/>
    </row>
    <row r="682" spans="2:5" ht="12.75">
      <c r="B682" s="11"/>
      <c r="C682" s="13"/>
      <c r="D682" s="12" t="s">
        <v>4</v>
      </c>
      <c r="E682" s="4"/>
    </row>
    <row r="683" spans="1:5" ht="12.75">
      <c r="A683" s="5" t="s">
        <v>77</v>
      </c>
      <c r="B683" s="4" t="s">
        <v>270</v>
      </c>
      <c r="D683" s="9">
        <v>358000</v>
      </c>
      <c r="E683" s="4"/>
    </row>
    <row r="684" spans="1:5" ht="12.75">
      <c r="A684" s="5" t="s">
        <v>77</v>
      </c>
      <c r="B684" s="4" t="s">
        <v>271</v>
      </c>
      <c r="D684" s="9">
        <v>48300</v>
      </c>
      <c r="E684" s="4"/>
    </row>
    <row r="685" spans="1:5" ht="12.75">
      <c r="A685" s="5" t="s">
        <v>77</v>
      </c>
      <c r="B685" s="4" t="s">
        <v>272</v>
      </c>
      <c r="D685" s="9">
        <v>1314175</v>
      </c>
      <c r="E685" s="4"/>
    </row>
    <row r="686" spans="1:5" ht="12.75">
      <c r="A686" s="5" t="s">
        <v>77</v>
      </c>
      <c r="B686" s="4" t="s">
        <v>273</v>
      </c>
      <c r="D686" s="9">
        <v>210500</v>
      </c>
      <c r="E686" s="4"/>
    </row>
    <row r="687" spans="1:5" ht="12.75">
      <c r="A687" s="5" t="s">
        <v>77</v>
      </c>
      <c r="B687" s="4" t="s">
        <v>274</v>
      </c>
      <c r="D687" s="46">
        <v>26012895</v>
      </c>
      <c r="E687" s="48">
        <f>SUM(D683:D687)</f>
        <v>27943870</v>
      </c>
    </row>
    <row r="688" spans="1:5" ht="12.75">
      <c r="A688" s="5" t="s">
        <v>248</v>
      </c>
      <c r="B688" s="4" t="s">
        <v>268</v>
      </c>
      <c r="D688" s="9">
        <v>424900</v>
      </c>
      <c r="E688" s="4"/>
    </row>
    <row r="689" spans="1:5" ht="12.75">
      <c r="A689" s="5" t="s">
        <v>248</v>
      </c>
      <c r="B689" s="4" t="s">
        <v>269</v>
      </c>
      <c r="D689" s="50">
        <v>6992492</v>
      </c>
      <c r="E689" s="48">
        <f>SUM(D688:D689)</f>
        <v>7417392</v>
      </c>
    </row>
    <row r="690" spans="1:5" ht="12.75">
      <c r="A690" s="5" t="s">
        <v>275</v>
      </c>
      <c r="B690" s="4" t="s">
        <v>282</v>
      </c>
      <c r="D690" s="48">
        <v>272184</v>
      </c>
      <c r="E690" s="4"/>
    </row>
    <row r="691" spans="1:5" ht="12.75">
      <c r="A691" s="5" t="s">
        <v>275</v>
      </c>
      <c r="B691" s="4" t="s">
        <v>200</v>
      </c>
      <c r="D691" s="50">
        <v>9839220</v>
      </c>
      <c r="E691" s="48">
        <f>SUM(D690:D691)</f>
        <v>10111404</v>
      </c>
    </row>
    <row r="692" spans="1:5" ht="12.75">
      <c r="A692" s="5" t="s">
        <v>39</v>
      </c>
      <c r="B692" s="4" t="s">
        <v>270</v>
      </c>
      <c r="D692" s="48">
        <v>537800</v>
      </c>
      <c r="E692" s="4"/>
    </row>
    <row r="693" spans="1:4" ht="12.75">
      <c r="A693" s="5" t="s">
        <v>39</v>
      </c>
      <c r="B693" s="4" t="s">
        <v>271</v>
      </c>
      <c r="D693" s="48">
        <v>342850</v>
      </c>
    </row>
    <row r="694" spans="1:4" ht="12.75">
      <c r="A694" s="5" t="s">
        <v>39</v>
      </c>
      <c r="B694" s="4" t="s">
        <v>23</v>
      </c>
      <c r="D694" s="48">
        <v>327100</v>
      </c>
    </row>
    <row r="695" spans="1:4" ht="12.75">
      <c r="A695" s="5" t="s">
        <v>39</v>
      </c>
      <c r="B695" s="4" t="s">
        <v>268</v>
      </c>
      <c r="D695" s="48">
        <v>1588900</v>
      </c>
    </row>
    <row r="696" spans="1:4" ht="12.75">
      <c r="A696" s="5" t="s">
        <v>39</v>
      </c>
      <c r="B696" s="4" t="s">
        <v>269</v>
      </c>
      <c r="D696" s="48">
        <v>5542500</v>
      </c>
    </row>
    <row r="697" spans="1:4" ht="12.75">
      <c r="A697" s="5" t="s">
        <v>39</v>
      </c>
      <c r="B697" s="4" t="s">
        <v>272</v>
      </c>
      <c r="D697" s="48">
        <v>3515936</v>
      </c>
    </row>
    <row r="698" spans="1:4" ht="12.75">
      <c r="A698" s="5" t="s">
        <v>39</v>
      </c>
      <c r="B698" s="4" t="s">
        <v>273</v>
      </c>
      <c r="D698" s="48">
        <v>313000</v>
      </c>
    </row>
    <row r="699" spans="1:4" ht="12.75">
      <c r="A699" s="5" t="s">
        <v>39</v>
      </c>
      <c r="B699" s="4" t="s">
        <v>274</v>
      </c>
      <c r="D699" s="48">
        <v>16765105</v>
      </c>
    </row>
    <row r="700" spans="1:5" ht="12.75">
      <c r="A700" s="5" t="s">
        <v>39</v>
      </c>
      <c r="B700" s="4" t="s">
        <v>397</v>
      </c>
      <c r="D700" s="50">
        <v>906000</v>
      </c>
      <c r="E700" s="14">
        <f>SUM(D692:D700)</f>
        <v>29839191</v>
      </c>
    </row>
    <row r="701" spans="1:4" ht="12.75">
      <c r="A701" s="5" t="s">
        <v>36</v>
      </c>
      <c r="B701" s="4" t="s">
        <v>270</v>
      </c>
      <c r="D701" s="48">
        <v>52000</v>
      </c>
    </row>
    <row r="702" spans="1:5" ht="12.75">
      <c r="A702" s="5" t="s">
        <v>36</v>
      </c>
      <c r="B702" s="4" t="s">
        <v>199</v>
      </c>
      <c r="D702" s="50">
        <v>7935650</v>
      </c>
      <c r="E702" s="14">
        <f>SUM(D701:D702)</f>
        <v>7987650</v>
      </c>
    </row>
    <row r="703" spans="1:4" ht="12.75">
      <c r="A703" s="5" t="s">
        <v>41</v>
      </c>
      <c r="B703" s="4" t="s">
        <v>274</v>
      </c>
      <c r="D703" s="48">
        <v>10654500</v>
      </c>
    </row>
    <row r="704" spans="1:6" ht="12.75">
      <c r="A704" s="5" t="s">
        <v>41</v>
      </c>
      <c r="B704" s="4" t="s">
        <v>397</v>
      </c>
      <c r="D704" s="50">
        <v>218300</v>
      </c>
      <c r="E704" s="14">
        <f>SUM(D703:D704)</f>
        <v>10872800</v>
      </c>
      <c r="F704" s="14">
        <f>SUM(E687:E704)</f>
        <v>94172307</v>
      </c>
    </row>
    <row r="705" ht="12.75">
      <c r="D705" s="48"/>
    </row>
    <row r="706" ht="12.75">
      <c r="D706" s="48"/>
    </row>
    <row r="707" spans="2:4" ht="12.75">
      <c r="B707" s="1" t="s">
        <v>454</v>
      </c>
      <c r="C707" s="2"/>
      <c r="D707" s="45"/>
    </row>
    <row r="708" spans="2:4" ht="15">
      <c r="B708" s="10" t="s">
        <v>2</v>
      </c>
      <c r="C708" s="11"/>
      <c r="D708" s="3" t="s">
        <v>3</v>
      </c>
    </row>
    <row r="709" spans="2:4" ht="12.75">
      <c r="B709" s="11"/>
      <c r="C709" s="13"/>
      <c r="D709" s="12" t="s">
        <v>4</v>
      </c>
    </row>
    <row r="710" spans="1:5" ht="12.75">
      <c r="A710" s="5" t="s">
        <v>77</v>
      </c>
      <c r="B710" s="4" t="s">
        <v>455</v>
      </c>
      <c r="D710" s="46">
        <v>94423</v>
      </c>
      <c r="E710" s="14">
        <f>D710</f>
        <v>94423</v>
      </c>
    </row>
    <row r="711" spans="1:5" ht="12.75">
      <c r="A711" s="5" t="s">
        <v>275</v>
      </c>
      <c r="B711" s="4" t="s">
        <v>455</v>
      </c>
      <c r="C711" s="16"/>
      <c r="D711" s="46">
        <v>400</v>
      </c>
      <c r="E711" s="14">
        <f>D711</f>
        <v>400</v>
      </c>
    </row>
    <row r="712" spans="1:5" ht="12.75">
      <c r="A712" s="5" t="s">
        <v>39</v>
      </c>
      <c r="B712" s="4" t="s">
        <v>455</v>
      </c>
      <c r="C712" s="16"/>
      <c r="D712" s="46">
        <v>12660</v>
      </c>
      <c r="E712" s="14">
        <f>D712</f>
        <v>12660</v>
      </c>
    </row>
    <row r="713" spans="1:5" ht="12.75">
      <c r="A713" s="5" t="s">
        <v>36</v>
      </c>
      <c r="B713" s="4" t="s">
        <v>455</v>
      </c>
      <c r="C713" s="16"/>
      <c r="D713" s="46">
        <v>2000</v>
      </c>
      <c r="E713" s="14">
        <f>D713</f>
        <v>2000</v>
      </c>
    </row>
    <row r="714" spans="1:5" ht="12.75">
      <c r="A714" s="5" t="s">
        <v>41</v>
      </c>
      <c r="B714" s="4" t="s">
        <v>455</v>
      </c>
      <c r="C714" s="16"/>
      <c r="D714" s="46">
        <v>6800</v>
      </c>
      <c r="E714" s="14">
        <f>D714</f>
        <v>6800</v>
      </c>
    </row>
    <row r="716" spans="2:4" ht="12.75">
      <c r="B716" s="1" t="s">
        <v>456</v>
      </c>
      <c r="C716" s="2"/>
      <c r="D716" s="45"/>
    </row>
    <row r="717" spans="2:4" ht="15">
      <c r="B717" s="10" t="s">
        <v>2</v>
      </c>
      <c r="C717" s="11"/>
      <c r="D717" s="3" t="s">
        <v>3</v>
      </c>
    </row>
    <row r="718" spans="2:4" ht="12.75">
      <c r="B718" s="11"/>
      <c r="C718" s="13"/>
      <c r="D718" s="12" t="s">
        <v>4</v>
      </c>
    </row>
    <row r="719" spans="1:5" ht="12.75">
      <c r="A719" s="5" t="s">
        <v>77</v>
      </c>
      <c r="B719" s="4" t="s">
        <v>457</v>
      </c>
      <c r="D719" s="46">
        <v>9600</v>
      </c>
      <c r="E719" s="14">
        <f>D719</f>
        <v>9600</v>
      </c>
    </row>
    <row r="722" spans="2:4" ht="12.75">
      <c r="B722" s="1" t="s">
        <v>458</v>
      </c>
      <c r="C722" s="2"/>
      <c r="D722" s="45"/>
    </row>
    <row r="723" spans="2:4" ht="15">
      <c r="B723" s="10" t="s">
        <v>2</v>
      </c>
      <c r="C723" s="11"/>
      <c r="D723" s="3" t="s">
        <v>3</v>
      </c>
    </row>
    <row r="724" spans="2:4" ht="12.75">
      <c r="B724" s="11"/>
      <c r="C724" s="13"/>
      <c r="D724" s="12" t="s">
        <v>4</v>
      </c>
    </row>
    <row r="725" spans="1:5" ht="12.75">
      <c r="A725" s="5" t="s">
        <v>77</v>
      </c>
      <c r="B725" s="4" t="s">
        <v>144</v>
      </c>
      <c r="D725" s="46">
        <f>43510.5-0.5</f>
        <v>43510</v>
      </c>
      <c r="E725" s="14">
        <f>D725</f>
        <v>43510</v>
      </c>
    </row>
    <row r="726" spans="1:5" ht="12.75">
      <c r="A726" s="5" t="s">
        <v>39</v>
      </c>
      <c r="B726" s="4" t="s">
        <v>144</v>
      </c>
      <c r="D726" s="46">
        <v>5000</v>
      </c>
      <c r="E726" s="14">
        <f>D726</f>
        <v>5000</v>
      </c>
    </row>
    <row r="729" spans="2:4" ht="12.75">
      <c r="B729" s="1" t="s">
        <v>477</v>
      </c>
      <c r="C729" s="2"/>
      <c r="D729" s="45"/>
    </row>
    <row r="730" spans="2:4" ht="15">
      <c r="B730" s="10" t="s">
        <v>2</v>
      </c>
      <c r="C730" s="11"/>
      <c r="D730" s="3" t="s">
        <v>3</v>
      </c>
    </row>
    <row r="731" spans="2:4" ht="12.75">
      <c r="B731" s="11"/>
      <c r="C731" s="13"/>
      <c r="D731" s="12" t="s">
        <v>4</v>
      </c>
    </row>
    <row r="732" spans="1:5" ht="12.75">
      <c r="A732" s="5" t="s">
        <v>690</v>
      </c>
      <c r="B732" s="11" t="s">
        <v>121</v>
      </c>
      <c r="C732" s="13"/>
      <c r="D732" s="47">
        <f>21656.5+0.5</f>
        <v>21657</v>
      </c>
      <c r="E732" s="14">
        <f>D732</f>
        <v>21657</v>
      </c>
    </row>
    <row r="733" spans="1:5" ht="12.75">
      <c r="A733" s="5" t="s">
        <v>217</v>
      </c>
      <c r="B733" s="4" t="s">
        <v>121</v>
      </c>
      <c r="D733" s="50">
        <f>1959661.98+0.02</f>
        <v>1959662</v>
      </c>
      <c r="E733" s="14">
        <f>D733</f>
        <v>1959662</v>
      </c>
    </row>
    <row r="734" spans="1:4" ht="12.75">
      <c r="A734" s="5" t="s">
        <v>41</v>
      </c>
      <c r="B734" s="4" t="s">
        <v>247</v>
      </c>
      <c r="D734" s="48">
        <v>13932</v>
      </c>
    </row>
    <row r="735" spans="1:5" ht="12.75">
      <c r="A735" s="5" t="s">
        <v>41</v>
      </c>
      <c r="B735" s="4" t="s">
        <v>464</v>
      </c>
      <c r="D735" s="50">
        <v>28930</v>
      </c>
      <c r="E735" s="14">
        <f>SUM(D734:D735)</f>
        <v>42862</v>
      </c>
    </row>
    <row r="736" ht="12.75">
      <c r="D736" s="48"/>
    </row>
    <row r="737" spans="2:6" ht="12.75">
      <c r="B737" s="1" t="s">
        <v>478</v>
      </c>
      <c r="C737" s="2"/>
      <c r="D737" s="45"/>
      <c r="E737" s="4"/>
      <c r="F737" s="4"/>
    </row>
    <row r="738" spans="2:4" ht="15">
      <c r="B738" s="10" t="s">
        <v>2</v>
      </c>
      <c r="C738" s="11"/>
      <c r="D738" s="3" t="s">
        <v>3</v>
      </c>
    </row>
    <row r="739" spans="2:4" ht="12.75">
      <c r="B739" s="11"/>
      <c r="C739" s="13"/>
      <c r="D739" s="12" t="s">
        <v>4</v>
      </c>
    </row>
    <row r="740" spans="1:4" ht="12.75">
      <c r="A740" s="5" t="s">
        <v>217</v>
      </c>
      <c r="B740" s="4" t="s">
        <v>226</v>
      </c>
      <c r="D740" s="9">
        <f>1959661.98+0.02</f>
        <v>1959662</v>
      </c>
    </row>
    <row r="741" spans="1:4" ht="12.75">
      <c r="A741" s="5" t="s">
        <v>41</v>
      </c>
      <c r="B741" s="4" t="s">
        <v>247</v>
      </c>
      <c r="D741" s="9">
        <v>13932</v>
      </c>
    </row>
    <row r="742" spans="1:5" ht="12.75">
      <c r="A742" s="5" t="s">
        <v>41</v>
      </c>
      <c r="B742" s="4" t="s">
        <v>464</v>
      </c>
      <c r="D742" s="46">
        <v>28930</v>
      </c>
      <c r="E742" s="14">
        <f>SUM(D740:D742)</f>
        <v>2002524</v>
      </c>
    </row>
    <row r="743" ht="12.75">
      <c r="D743" s="48"/>
    </row>
    <row r="744" ht="12.75">
      <c r="D744" s="48"/>
    </row>
    <row r="745" spans="2:4" ht="12.75">
      <c r="B745" s="1" t="s">
        <v>476</v>
      </c>
      <c r="C745" s="2"/>
      <c r="D745" s="45"/>
    </row>
    <row r="746" spans="2:4" ht="15">
      <c r="B746" s="10" t="s">
        <v>2</v>
      </c>
      <c r="C746" s="11"/>
      <c r="D746" s="3" t="s">
        <v>3</v>
      </c>
    </row>
    <row r="747" spans="2:4" ht="12.75">
      <c r="B747" s="11"/>
      <c r="C747" s="13"/>
      <c r="D747" s="12" t="s">
        <v>4</v>
      </c>
    </row>
    <row r="748" spans="1:5" ht="12.75">
      <c r="A748" s="5" t="s">
        <v>217</v>
      </c>
      <c r="B748" s="4" t="s">
        <v>139</v>
      </c>
      <c r="D748" s="14">
        <v>1957262</v>
      </c>
      <c r="E748" s="14"/>
    </row>
    <row r="749" spans="1:5" ht="12.75">
      <c r="A749" s="5" t="s">
        <v>41</v>
      </c>
      <c r="B749" s="4" t="s">
        <v>247</v>
      </c>
      <c r="D749" s="50">
        <v>13932</v>
      </c>
      <c r="E749" s="14">
        <f>SUM(D748:D749)</f>
        <v>1971194</v>
      </c>
    </row>
    <row r="750" ht="12.75">
      <c r="D750" s="48"/>
    </row>
    <row r="751" ht="12.75">
      <c r="D751" s="48"/>
    </row>
    <row r="752" spans="2:4" ht="12.75">
      <c r="B752" s="1" t="s">
        <v>678</v>
      </c>
      <c r="D752" s="48"/>
    </row>
    <row r="753" spans="2:4" ht="15">
      <c r="B753" s="10" t="s">
        <v>2</v>
      </c>
      <c r="C753" s="11"/>
      <c r="D753" s="3" t="s">
        <v>3</v>
      </c>
    </row>
    <row r="754" spans="2:4" ht="12.75">
      <c r="B754" s="11"/>
      <c r="C754" s="13"/>
      <c r="D754" s="12" t="s">
        <v>4</v>
      </c>
    </row>
    <row r="755" spans="1:5" ht="12.75">
      <c r="A755" s="5" t="s">
        <v>217</v>
      </c>
      <c r="B755" s="4" t="s">
        <v>679</v>
      </c>
      <c r="D755" s="50">
        <v>3357796</v>
      </c>
      <c r="E755" s="14">
        <f>D755</f>
        <v>3357796</v>
      </c>
    </row>
    <row r="756" spans="1:5" ht="12.75">
      <c r="A756" s="5" t="s">
        <v>41</v>
      </c>
      <c r="B756" s="4" t="s">
        <v>688</v>
      </c>
      <c r="D756" s="50">
        <v>85630</v>
      </c>
      <c r="E756" s="14">
        <f>D756</f>
        <v>85630</v>
      </c>
    </row>
    <row r="757" ht="12.75">
      <c r="D757" s="48"/>
    </row>
    <row r="758" spans="2:4" ht="12.75">
      <c r="B758" s="1" t="s">
        <v>680</v>
      </c>
      <c r="D758" s="48"/>
    </row>
    <row r="759" spans="2:4" ht="15">
      <c r="B759" s="10" t="s">
        <v>2</v>
      </c>
      <c r="C759" s="11"/>
      <c r="D759" s="3" t="s">
        <v>3</v>
      </c>
    </row>
    <row r="760" spans="2:4" ht="12.75">
      <c r="B760" s="11"/>
      <c r="C760" s="13"/>
      <c r="D760" s="12" t="s">
        <v>4</v>
      </c>
    </row>
    <row r="761" spans="1:5" ht="12.75">
      <c r="A761" s="5" t="s">
        <v>217</v>
      </c>
      <c r="B761" s="4" t="s">
        <v>679</v>
      </c>
      <c r="D761" s="50">
        <f>4948878.4+0.6</f>
        <v>4948879</v>
      </c>
      <c r="E761" s="14">
        <f>D761</f>
        <v>4948879</v>
      </c>
    </row>
    <row r="762" spans="1:5" ht="12.75">
      <c r="A762" s="5" t="s">
        <v>41</v>
      </c>
      <c r="B762" s="4" t="s">
        <v>688</v>
      </c>
      <c r="D762" s="50">
        <v>56700</v>
      </c>
      <c r="E762" s="14">
        <f>D762</f>
        <v>56700</v>
      </c>
    </row>
    <row r="763" ht="12.75">
      <c r="D763" s="48"/>
    </row>
    <row r="764" spans="2:4" ht="12.75">
      <c r="B764" s="1" t="s">
        <v>681</v>
      </c>
      <c r="D764" s="48"/>
    </row>
    <row r="765" spans="2:4" ht="15">
      <c r="B765" s="10" t="s">
        <v>2</v>
      </c>
      <c r="C765" s="11"/>
      <c r="D765" s="3" t="s">
        <v>3</v>
      </c>
    </row>
    <row r="766" spans="2:4" ht="12.75">
      <c r="B766" s="11"/>
      <c r="C766" s="13"/>
      <c r="D766" s="12" t="s">
        <v>4</v>
      </c>
    </row>
    <row r="767" spans="1:5" ht="12.75">
      <c r="A767" s="5" t="s">
        <v>217</v>
      </c>
      <c r="B767" s="4" t="s">
        <v>682</v>
      </c>
      <c r="D767" s="48">
        <f>166356.9+0.1</f>
        <v>166357</v>
      </c>
      <c r="E767" s="14">
        <f>D767</f>
        <v>166357</v>
      </c>
    </row>
  </sheetData>
  <sheetProtection password="DDD9" sheet="1" objects="1" scenarios="1"/>
  <mergeCells count="7">
    <mergeCell ref="C327:D327"/>
    <mergeCell ref="C328:D328"/>
    <mergeCell ref="B1:D1"/>
    <mergeCell ref="C139:D139"/>
    <mergeCell ref="C314:D314"/>
    <mergeCell ref="C140:D140"/>
    <mergeCell ref="C313:D313"/>
  </mergeCells>
  <printOptions/>
  <pageMargins left="0.75" right="0" top="0.5" bottom="0.5" header="0.5" footer="0.5"/>
  <pageSetup horizontalDpi="300" verticalDpi="3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4"/>
  <sheetViews>
    <sheetView workbookViewId="0" topLeftCell="A1">
      <selection activeCell="A2" sqref="A2:K2"/>
    </sheetView>
  </sheetViews>
  <sheetFormatPr defaultColWidth="9.140625" defaultRowHeight="12.75"/>
  <cols>
    <col min="1" max="1" width="4.57421875" style="5" customWidth="1"/>
    <col min="2" max="2" width="31.421875" style="5" customWidth="1"/>
    <col min="3" max="3" width="12.421875" style="5" customWidth="1"/>
    <col min="4" max="4" width="11.7109375" style="5" customWidth="1"/>
    <col min="5" max="5" width="11.57421875" style="5" customWidth="1"/>
    <col min="6" max="6" width="11.28125" style="5" customWidth="1"/>
    <col min="7" max="7" width="11.00390625" style="5" customWidth="1"/>
    <col min="8" max="8" width="12.57421875" style="5" customWidth="1"/>
    <col min="9" max="9" width="12.28125" style="5" customWidth="1"/>
    <col min="10" max="11" width="12.57421875" style="5" customWidth="1"/>
    <col min="12" max="16384" width="9.140625" style="5" customWidth="1"/>
  </cols>
  <sheetData>
    <row r="1" spans="1:11" ht="15.75">
      <c r="A1" s="159" t="s">
        <v>656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>
      <c r="A2" s="154" t="s">
        <v>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>
      <c r="A3" s="154" t="s">
        <v>76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" ht="12.75">
      <c r="A5" s="1" t="s">
        <v>480</v>
      </c>
      <c r="B5" s="1" t="s">
        <v>657</v>
      </c>
    </row>
    <row r="7" spans="1:11" ht="12.75">
      <c r="A7" s="3" t="s">
        <v>482</v>
      </c>
      <c r="B7" s="3" t="s">
        <v>483</v>
      </c>
      <c r="C7" s="3" t="s">
        <v>146</v>
      </c>
      <c r="D7" s="154" t="s">
        <v>484</v>
      </c>
      <c r="E7" s="154"/>
      <c r="F7" s="154"/>
      <c r="G7" s="154"/>
      <c r="H7" s="154"/>
      <c r="I7" s="3" t="s">
        <v>146</v>
      </c>
      <c r="J7" s="3" t="s">
        <v>146</v>
      </c>
      <c r="K7" s="3" t="s">
        <v>485</v>
      </c>
    </row>
    <row r="8" spans="1:11" ht="12.75">
      <c r="A8" s="3" t="s">
        <v>486</v>
      </c>
      <c r="B8" s="3"/>
      <c r="C8" s="3" t="s">
        <v>487</v>
      </c>
      <c r="D8" s="3" t="s">
        <v>488</v>
      </c>
      <c r="E8" s="154" t="s">
        <v>489</v>
      </c>
      <c r="F8" s="154"/>
      <c r="G8" s="3" t="s">
        <v>490</v>
      </c>
      <c r="H8" s="3" t="s">
        <v>491</v>
      </c>
      <c r="I8" s="3" t="s">
        <v>492</v>
      </c>
      <c r="J8" s="3" t="s">
        <v>492</v>
      </c>
      <c r="K8" s="3" t="s">
        <v>493</v>
      </c>
    </row>
    <row r="9" spans="1:11" ht="12.75">
      <c r="A9" s="3"/>
      <c r="B9" s="3"/>
      <c r="C9" s="3"/>
      <c r="D9" s="3" t="s">
        <v>493</v>
      </c>
      <c r="E9" s="3" t="s">
        <v>494</v>
      </c>
      <c r="F9" s="3" t="s">
        <v>495</v>
      </c>
      <c r="G9" s="3"/>
      <c r="H9" s="3"/>
      <c r="I9" s="3" t="s">
        <v>496</v>
      </c>
      <c r="J9" s="3" t="s">
        <v>496</v>
      </c>
      <c r="K9" s="3" t="s">
        <v>497</v>
      </c>
    </row>
    <row r="10" spans="1:11" ht="12.75">
      <c r="A10" s="3"/>
      <c r="B10" s="3"/>
      <c r="C10" s="3"/>
      <c r="D10" s="3" t="s">
        <v>498</v>
      </c>
      <c r="E10" s="3" t="s">
        <v>499</v>
      </c>
      <c r="F10" s="3" t="s">
        <v>499</v>
      </c>
      <c r="G10" s="3"/>
      <c r="H10" s="3"/>
      <c r="I10" s="3" t="s">
        <v>204</v>
      </c>
      <c r="J10" s="3" t="s">
        <v>203</v>
      </c>
      <c r="K10" s="3"/>
    </row>
    <row r="11" ht="12.75">
      <c r="B11" s="1"/>
    </row>
    <row r="12" spans="1:11" ht="12.75">
      <c r="A12" s="55">
        <v>1</v>
      </c>
      <c r="B12" s="5" t="s">
        <v>545</v>
      </c>
      <c r="C12" s="56">
        <v>0</v>
      </c>
      <c r="D12" s="14">
        <f>'RUF WORK FIXED ASSETS'!D62</f>
        <v>4493865</v>
      </c>
      <c r="E12" s="14">
        <f>'RUF WORK FIXED ASSETS'!E62</f>
        <v>0</v>
      </c>
      <c r="F12" s="14">
        <f>'RUF WORK FIXED ASSETS'!F62</f>
        <v>0</v>
      </c>
      <c r="G12" s="14">
        <f>'RUF WORK FIXED ASSETS'!G62</f>
        <v>0</v>
      </c>
      <c r="H12" s="14">
        <f>'RUF WORK FIXED ASSETS'!H62</f>
        <v>4493865</v>
      </c>
      <c r="I12" s="14">
        <f>'RUF WORK FIXED ASSETS'!I62</f>
        <v>0</v>
      </c>
      <c r="J12" s="14">
        <f>'RUF WORK FIXED ASSETS'!J62</f>
        <v>0</v>
      </c>
      <c r="K12" s="14">
        <f>'RUF WORK FIXED ASSETS'!K62</f>
        <v>4493865</v>
      </c>
    </row>
    <row r="13" spans="1:11" ht="12.75">
      <c r="A13" s="55">
        <f>A12</f>
        <v>1</v>
      </c>
      <c r="B13" s="4" t="s">
        <v>592</v>
      </c>
      <c r="C13" s="56">
        <v>0</v>
      </c>
      <c r="D13" s="14">
        <f>'RUF WORK FIXED ASSETS'!D121</f>
        <v>6199555</v>
      </c>
      <c r="E13" s="14">
        <f>'RUF WORK FIXED ASSETS'!E121</f>
        <v>0</v>
      </c>
      <c r="F13" s="14">
        <f>'RUF WORK FIXED ASSETS'!F121</f>
        <v>0</v>
      </c>
      <c r="G13" s="14">
        <f>'RUF WORK FIXED ASSETS'!G121</f>
        <v>0</v>
      </c>
      <c r="H13" s="14">
        <f>'RUF WORK FIXED ASSETS'!H121</f>
        <v>6199555</v>
      </c>
      <c r="I13" s="14">
        <f>'RUF WORK FIXED ASSETS'!I121</f>
        <v>0</v>
      </c>
      <c r="J13" s="14">
        <f>'RUF WORK FIXED ASSETS'!J121</f>
        <v>0</v>
      </c>
      <c r="K13" s="14">
        <f>'RUF WORK FIXED ASSETS'!K121</f>
        <v>6199555</v>
      </c>
    </row>
    <row r="14" spans="1:11" ht="12.75">
      <c r="A14" s="55">
        <f>A13</f>
        <v>1</v>
      </c>
      <c r="B14" s="5" t="s">
        <v>512</v>
      </c>
      <c r="C14" s="56">
        <v>0</v>
      </c>
      <c r="D14" s="14">
        <f>'RUF WORK FIXED ASSETS'!D24</f>
        <v>3004066.65</v>
      </c>
      <c r="E14" s="14">
        <f>'RUF WORK FIXED ASSETS'!E24</f>
        <v>0</v>
      </c>
      <c r="F14" s="14">
        <f>'RUF WORK FIXED ASSETS'!F24</f>
        <v>8077997.55</v>
      </c>
      <c r="G14" s="14">
        <f>'RUF WORK FIXED ASSETS'!G24</f>
        <v>0.2</v>
      </c>
      <c r="H14" s="14">
        <f>'RUF WORK FIXED ASSETS'!H24</f>
        <v>11082064</v>
      </c>
      <c r="I14" s="14">
        <f>'RUF WORK FIXED ASSETS'!I24</f>
        <v>0</v>
      </c>
      <c r="J14" s="14">
        <f>'RUF WORK FIXED ASSETS'!J24</f>
        <v>0</v>
      </c>
      <c r="K14" s="14">
        <f>'RUF WORK FIXED ASSETS'!K24</f>
        <v>11082064</v>
      </c>
    </row>
    <row r="15" spans="3:11" ht="13.5" thickBot="1">
      <c r="C15" s="56"/>
      <c r="D15" s="59">
        <f>SUM(D12:D14)</f>
        <v>13697486.65</v>
      </c>
      <c r="E15" s="59">
        <f aca="true" t="shared" si="0" ref="E15:K15">SUM(E12:E14)</f>
        <v>0</v>
      </c>
      <c r="F15" s="59">
        <f t="shared" si="0"/>
        <v>8077997.55</v>
      </c>
      <c r="G15" s="59">
        <f t="shared" si="0"/>
        <v>0.2</v>
      </c>
      <c r="H15" s="59">
        <f t="shared" si="0"/>
        <v>21775484</v>
      </c>
      <c r="I15" s="59">
        <f t="shared" si="0"/>
        <v>0</v>
      </c>
      <c r="J15" s="59">
        <f t="shared" si="0"/>
        <v>0</v>
      </c>
      <c r="K15" s="59">
        <f t="shared" si="0"/>
        <v>21775484</v>
      </c>
    </row>
    <row r="16" spans="3:11" ht="13.5" thickTop="1">
      <c r="C16" s="56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55">
        <f>A14+1</f>
        <v>2</v>
      </c>
      <c r="B17" s="5" t="s">
        <v>602</v>
      </c>
      <c r="C17" s="56">
        <v>0.1</v>
      </c>
      <c r="D17" s="14">
        <f>'RUF WORK FIXED ASSETS'!D135</f>
        <v>7276917.45</v>
      </c>
      <c r="E17" s="14">
        <f>'RUF WORK FIXED ASSETS'!E135</f>
        <v>948185</v>
      </c>
      <c r="F17" s="14">
        <f>'RUF WORK FIXED ASSETS'!F135</f>
        <v>877641</v>
      </c>
      <c r="G17" s="14">
        <f>'RUF WORK FIXED ASSETS'!G135</f>
        <v>0</v>
      </c>
      <c r="H17" s="14">
        <f>'RUF WORK FIXED ASSETS'!H135</f>
        <v>9102743.45</v>
      </c>
      <c r="I17" s="14">
        <f>'RUF WORK FIXED ASSETS'!I135</f>
        <v>866392.4450000002</v>
      </c>
      <c r="J17" s="14">
        <f>'RUF WORK FIXED ASSETS'!J135</f>
        <v>762966.8830000001</v>
      </c>
      <c r="K17" s="14">
        <f>'RUF WORK FIXED ASSETS'!K135</f>
        <v>8236350.994999999</v>
      </c>
    </row>
    <row r="18" spans="1:11" ht="12.75">
      <c r="A18" s="55">
        <f>A17</f>
        <v>2</v>
      </c>
      <c r="B18" s="5" t="s">
        <v>557</v>
      </c>
      <c r="C18" s="56">
        <v>0.1</v>
      </c>
      <c r="D18" s="14">
        <f>'RUF WORK FIXED ASSETS'!D79</f>
        <v>19881289.2</v>
      </c>
      <c r="E18" s="14">
        <f>'RUF WORK FIXED ASSETS'!E79</f>
        <v>50336</v>
      </c>
      <c r="F18" s="14">
        <f>'RUF WORK FIXED ASSETS'!F79</f>
        <v>587772</v>
      </c>
      <c r="G18" s="14">
        <f>'RUF WORK FIXED ASSETS'!G79</f>
        <v>0</v>
      </c>
      <c r="H18" s="14">
        <f>'RUF WORK FIXED ASSETS'!H79</f>
        <v>20519397.2</v>
      </c>
      <c r="I18" s="14">
        <f>'RUF WORK FIXED ASSETS'!I79</f>
        <v>2022551.2000000002</v>
      </c>
      <c r="J18" s="14">
        <f>'RUF WORK FIXED ASSETS'!J79</f>
        <v>2157288.41</v>
      </c>
      <c r="K18" s="14">
        <f>'RUF WORK FIXED ASSETS'!K79</f>
        <v>18496846</v>
      </c>
    </row>
    <row r="19" spans="1:11" ht="12.75">
      <c r="A19" s="55">
        <f>A18</f>
        <v>2</v>
      </c>
      <c r="B19" s="5" t="s">
        <v>534</v>
      </c>
      <c r="C19" s="57">
        <v>0.1</v>
      </c>
      <c r="D19" s="14">
        <f>'RUF WORK FIXED ASSETS'!D51</f>
        <v>13075436.72</v>
      </c>
      <c r="E19" s="14">
        <f>'RUF WORK FIXED ASSETS'!E51</f>
        <v>2049071</v>
      </c>
      <c r="F19" s="14">
        <f>'RUF WORK FIXED ASSETS'!F51</f>
        <v>4524869</v>
      </c>
      <c r="G19" s="14">
        <f>'RUF WORK FIXED ASSETS'!G51</f>
        <v>0</v>
      </c>
      <c r="H19" s="14">
        <f>'RUF WORK FIXED ASSETS'!H51</f>
        <v>19649376.72</v>
      </c>
      <c r="I19" s="14">
        <f>'RUF WORK FIXED ASSETS'!I51</f>
        <v>1738694.722</v>
      </c>
      <c r="J19" s="14">
        <f>'RUF WORK FIXED ASSETS'!J51</f>
        <v>1447024.64</v>
      </c>
      <c r="K19" s="14">
        <f>'RUF WORK FIXED ASSETS'!K51</f>
        <v>17910681.998</v>
      </c>
    </row>
    <row r="20" spans="1:11" ht="12.75">
      <c r="A20" s="55">
        <f>A19</f>
        <v>2</v>
      </c>
      <c r="B20" s="5" t="s">
        <v>501</v>
      </c>
      <c r="C20" s="56">
        <v>0.1</v>
      </c>
      <c r="D20" s="14">
        <f>'RUF WORK FIXED ASSETS'!D13</f>
        <v>9664556.61</v>
      </c>
      <c r="E20" s="14">
        <f>'RUF WORK FIXED ASSETS'!E13</f>
        <v>593742</v>
      </c>
      <c r="F20" s="14">
        <f>'RUF WORK FIXED ASSETS'!F13</f>
        <v>0</v>
      </c>
      <c r="G20" s="14">
        <f>'RUF WORK FIXED ASSETS'!G13</f>
        <v>0</v>
      </c>
      <c r="H20" s="14">
        <f>'RUF WORK FIXED ASSETS'!H13</f>
        <v>10258298.61</v>
      </c>
      <c r="I20" s="14">
        <f>'RUF WORK FIXED ASSETS'!I13</f>
        <v>1025829.611</v>
      </c>
      <c r="J20" s="14">
        <f>'RUF WORK FIXED ASSETS'!J13</f>
        <v>1073839.62</v>
      </c>
      <c r="K20" s="14">
        <f>'RUF WORK FIXED ASSETS'!K13</f>
        <v>9232468.999</v>
      </c>
    </row>
    <row r="21" spans="1:11" ht="12.75">
      <c r="A21" s="55">
        <f>A20</f>
        <v>2</v>
      </c>
      <c r="B21" s="4" t="s">
        <v>589</v>
      </c>
      <c r="C21" s="56">
        <v>0.1</v>
      </c>
      <c r="D21" s="14">
        <f>'RUF WORK FIXED ASSETS'!D118</f>
        <v>0</v>
      </c>
      <c r="E21" s="14">
        <f>'RUF WORK FIXED ASSETS'!E118</f>
        <v>0</v>
      </c>
      <c r="F21" s="14">
        <f>'RUF WORK FIXED ASSETS'!F118</f>
        <v>695763</v>
      </c>
      <c r="G21" s="14">
        <f>'RUF WORK FIXED ASSETS'!G118</f>
        <v>0</v>
      </c>
      <c r="H21" s="14">
        <f>'RUF WORK FIXED ASSETS'!H118</f>
        <v>695763</v>
      </c>
      <c r="I21" s="14">
        <f>'RUF WORK FIXED ASSETS'!I118</f>
        <v>0</v>
      </c>
      <c r="J21" s="14">
        <f>'RUF WORK FIXED ASSETS'!J118</f>
        <v>0</v>
      </c>
      <c r="K21" s="14">
        <f>'RUF WORK FIXED ASSETS'!K118</f>
        <v>695763</v>
      </c>
    </row>
    <row r="22" spans="4:11" ht="13.5" thickBot="1">
      <c r="D22" s="59">
        <f>SUM(D17:D21)</f>
        <v>49898199.98</v>
      </c>
      <c r="E22" s="59">
        <f aca="true" t="shared" si="1" ref="E22:J22">SUM(E17:E21)</f>
        <v>3641334</v>
      </c>
      <c r="F22" s="59">
        <f t="shared" si="1"/>
        <v>6686045</v>
      </c>
      <c r="G22" s="59">
        <f t="shared" si="1"/>
        <v>0</v>
      </c>
      <c r="H22" s="59">
        <f t="shared" si="1"/>
        <v>60225578.98</v>
      </c>
      <c r="I22" s="59">
        <f t="shared" si="1"/>
        <v>5653467.978</v>
      </c>
      <c r="J22" s="59">
        <f t="shared" si="1"/>
        <v>5441119.553</v>
      </c>
      <c r="K22" s="59">
        <f>SUM(K17:K21)+0.005</f>
        <v>54572110.997</v>
      </c>
    </row>
    <row r="23" ht="13.5" thickTop="1"/>
    <row r="24" spans="1:11" ht="12.75">
      <c r="A24" s="55">
        <f>A21+1</f>
        <v>3</v>
      </c>
      <c r="B24" s="5" t="s">
        <v>503</v>
      </c>
      <c r="C24" s="56">
        <v>0.6</v>
      </c>
      <c r="D24" s="14">
        <f>'RUF WORK FIXED ASSETS'!D15</f>
        <v>1605253.13</v>
      </c>
      <c r="E24" s="14">
        <f>'RUF WORK FIXED ASSETS'!E15</f>
        <v>18800</v>
      </c>
      <c r="F24" s="14">
        <f>'RUF WORK FIXED ASSETS'!F15</f>
        <v>921040.5</v>
      </c>
      <c r="G24" s="14">
        <f>'RUF WORK FIXED ASSETS'!G15</f>
        <v>0</v>
      </c>
      <c r="H24" s="14">
        <f>'RUF WORK FIXED ASSETS'!H15</f>
        <v>2545093.63</v>
      </c>
      <c r="I24" s="14">
        <f>'RUF WORK FIXED ASSETS'!I15</f>
        <v>1250743.628</v>
      </c>
      <c r="J24" s="14">
        <f>'RUF WORK FIXED ASSETS'!J15</f>
        <v>1094751.19</v>
      </c>
      <c r="K24" s="14">
        <f>'RUF WORK FIXED ASSETS'!K15</f>
        <v>1294350.0019999999</v>
      </c>
    </row>
    <row r="25" spans="1:11" ht="12.75">
      <c r="A25" s="55">
        <f>A24</f>
        <v>3</v>
      </c>
      <c r="B25" s="5" t="s">
        <v>558</v>
      </c>
      <c r="C25" s="56">
        <v>0.6</v>
      </c>
      <c r="D25" s="14">
        <f>'RUF WORK FIXED ASSETS'!D80</f>
        <v>234875.14</v>
      </c>
      <c r="E25" s="14">
        <f>'RUF WORK FIXED ASSETS'!E80</f>
        <v>15895</v>
      </c>
      <c r="F25" s="14">
        <f>'RUF WORK FIXED ASSETS'!F80</f>
        <v>13750</v>
      </c>
      <c r="G25" s="14">
        <f>'RUF WORK FIXED ASSETS'!G80</f>
        <v>0</v>
      </c>
      <c r="H25" s="14">
        <f>'RUF WORK FIXED ASSETS'!H80</f>
        <v>264520.14</v>
      </c>
      <c r="I25" s="14">
        <f>'RUF WORK FIXED ASSETS'!I80</f>
        <v>154587.144</v>
      </c>
      <c r="J25" s="14">
        <f>'RUF WORK FIXED ASSETS'!J80</f>
        <v>352312.68</v>
      </c>
      <c r="K25" s="14">
        <f>'RUF WORK FIXED ASSETS'!K80</f>
        <v>109932.99600000001</v>
      </c>
    </row>
    <row r="26" spans="1:11" ht="12.75">
      <c r="A26" s="55">
        <f>A25</f>
        <v>3</v>
      </c>
      <c r="B26" s="5" t="s">
        <v>536</v>
      </c>
      <c r="C26" s="57">
        <v>0.6</v>
      </c>
      <c r="D26" s="14">
        <f>'RUF WORK FIXED ASSETS'!D53</f>
        <v>282641.14</v>
      </c>
      <c r="E26" s="14">
        <f>'RUF WORK FIXED ASSETS'!E53</f>
        <v>17091</v>
      </c>
      <c r="F26" s="14">
        <f>'RUF WORK FIXED ASSETS'!F53</f>
        <v>231862</v>
      </c>
      <c r="G26" s="14">
        <f>'RUF WORK FIXED ASSETS'!G53</f>
        <v>0</v>
      </c>
      <c r="H26" s="14">
        <f>'RUF WORK FIXED ASSETS'!H53</f>
        <v>531594.14</v>
      </c>
      <c r="I26" s="14">
        <f>'RUF WORK FIXED ASSETS'!I53</f>
        <v>249398.14400000003</v>
      </c>
      <c r="J26" s="14">
        <f>'RUF WORK FIXED ASSETS'!J53</f>
        <v>423961.76</v>
      </c>
      <c r="K26" s="14">
        <f>'RUF WORK FIXED ASSETS'!K53</f>
        <v>282195.996</v>
      </c>
    </row>
    <row r="27" spans="1:11" ht="12.75">
      <c r="A27" s="55">
        <f>A26</f>
        <v>3</v>
      </c>
      <c r="B27" s="4" t="s">
        <v>590</v>
      </c>
      <c r="C27" s="56">
        <v>0.6</v>
      </c>
      <c r="D27" s="14">
        <f>'RUF WORK FIXED ASSETS'!D119</f>
        <v>0</v>
      </c>
      <c r="E27" s="14">
        <f>'RUF WORK FIXED ASSETS'!E119</f>
        <v>370029</v>
      </c>
      <c r="F27" s="14">
        <f>'RUF WORK FIXED ASSETS'!F119</f>
        <v>0</v>
      </c>
      <c r="G27" s="14">
        <f>'RUF WORK FIXED ASSETS'!G119</f>
        <v>0</v>
      </c>
      <c r="H27" s="14">
        <f>'RUF WORK FIXED ASSETS'!H119</f>
        <v>370029</v>
      </c>
      <c r="I27" s="14">
        <f>'RUF WORK FIXED ASSETS'!I119</f>
        <v>222017</v>
      </c>
      <c r="J27" s="14">
        <f>'RUF WORK FIXED ASSETS'!J119</f>
        <v>0</v>
      </c>
      <c r="K27" s="14">
        <f>'RUF WORK FIXED ASSETS'!K119</f>
        <v>148012</v>
      </c>
    </row>
    <row r="28" spans="4:11" ht="13.5" thickBot="1">
      <c r="D28" s="59">
        <f>SUM(D24:D27)</f>
        <v>2122769.41</v>
      </c>
      <c r="E28" s="59">
        <f aca="true" t="shared" si="2" ref="E28:J28">SUM(E24:E27)</f>
        <v>421815</v>
      </c>
      <c r="F28" s="59">
        <f t="shared" si="2"/>
        <v>1166652.5</v>
      </c>
      <c r="G28" s="59">
        <f t="shared" si="2"/>
        <v>0</v>
      </c>
      <c r="H28" s="59">
        <f t="shared" si="2"/>
        <v>3711236.91</v>
      </c>
      <c r="I28" s="59">
        <f t="shared" si="2"/>
        <v>1876745.9160000002</v>
      </c>
      <c r="J28" s="59">
        <f t="shared" si="2"/>
        <v>1871025.63</v>
      </c>
      <c r="K28" s="59">
        <f>SUM(K24:K27)+0.005</f>
        <v>1834490.9989999998</v>
      </c>
    </row>
    <row r="29" ht="13.5" thickTop="1"/>
    <row r="30" spans="1:11" ht="12.75">
      <c r="A30" s="55">
        <f>A27+1</f>
        <v>4</v>
      </c>
      <c r="B30" s="5" t="s">
        <v>608</v>
      </c>
      <c r="C30" s="56">
        <v>0.25</v>
      </c>
      <c r="D30" s="14">
        <f>'RUF WORK FIXED ASSETS'!D142</f>
        <v>177372.28</v>
      </c>
      <c r="E30" s="14">
        <f>'RUF WORK FIXED ASSETS'!E142</f>
        <v>0</v>
      </c>
      <c r="F30" s="14">
        <f>'RUF WORK FIXED ASSETS'!F142</f>
        <v>298000</v>
      </c>
      <c r="G30" s="14">
        <f>'RUF WORK FIXED ASSETS'!G142</f>
        <v>0</v>
      </c>
      <c r="H30" s="14">
        <f>'RUF WORK FIXED ASSETS'!H142</f>
        <v>475372.28</v>
      </c>
      <c r="I30" s="14">
        <f>'RUF WORK FIXED ASSETS'!I142</f>
        <v>81593.28000000001</v>
      </c>
      <c r="J30" s="14">
        <f>'RUF WORK FIXED ASSETS'!J142</f>
        <v>59124.095</v>
      </c>
      <c r="K30" s="14">
        <f>'RUF WORK FIXED ASSETS'!K142</f>
        <v>393779</v>
      </c>
    </row>
    <row r="31" spans="1:11" ht="12.75">
      <c r="A31" s="55">
        <f>A30</f>
        <v>4</v>
      </c>
      <c r="B31" s="5" t="s">
        <v>559</v>
      </c>
      <c r="C31" s="56">
        <v>0.25</v>
      </c>
      <c r="D31" s="14">
        <f>'RUF WORK FIXED ASSETS'!D81</f>
        <v>210061.12</v>
      </c>
      <c r="E31" s="14">
        <f>'RUF WORK FIXED ASSETS'!E81</f>
        <v>0</v>
      </c>
      <c r="F31" s="14">
        <f>'RUF WORK FIXED ASSETS'!F81</f>
        <v>0</v>
      </c>
      <c r="G31" s="14">
        <f>'RUF WORK FIXED ASSETS'!G81</f>
        <v>0</v>
      </c>
      <c r="H31" s="14">
        <f>'RUF WORK FIXED ASSETS'!H81</f>
        <v>210061.12</v>
      </c>
      <c r="I31" s="14">
        <f>'RUF WORK FIXED ASSETS'!I81</f>
        <v>52515.119999999995</v>
      </c>
      <c r="J31" s="14">
        <f>'RUF WORK FIXED ASSETS'!J81</f>
        <v>70020.38</v>
      </c>
      <c r="K31" s="14">
        <f>'RUF WORK FIXED ASSETS'!K81</f>
        <v>157546</v>
      </c>
    </row>
    <row r="32" spans="1:11" ht="12.75">
      <c r="A32" s="55">
        <f>A31</f>
        <v>4</v>
      </c>
      <c r="B32" s="5" t="s">
        <v>549</v>
      </c>
      <c r="C32" s="56">
        <v>0.25</v>
      </c>
      <c r="D32" s="14">
        <f>'RUF WORK FIXED ASSETS'!D66</f>
        <v>360339.7</v>
      </c>
      <c r="E32" s="14">
        <f>'RUF WORK FIXED ASSETS'!E66</f>
        <v>943352</v>
      </c>
      <c r="F32" s="14">
        <f>'RUF WORK FIXED ASSETS'!F66</f>
        <v>88015</v>
      </c>
      <c r="G32" s="14">
        <f>'RUF WORK FIXED ASSETS'!G66</f>
        <v>0</v>
      </c>
      <c r="H32" s="14">
        <f>'RUF WORK FIXED ASSETS'!H66</f>
        <v>1391706.7</v>
      </c>
      <c r="I32" s="14">
        <f>'RUF WORK FIXED ASSETS'!I66</f>
        <v>336924.7</v>
      </c>
      <c r="J32" s="14">
        <f>'RUF WORK FIXED ASSETS'!J66</f>
        <v>120113.22</v>
      </c>
      <c r="K32" s="14">
        <f>'RUF WORK FIXED ASSETS'!K66</f>
        <v>1054782</v>
      </c>
    </row>
    <row r="33" spans="3:11" ht="13.5" thickBot="1">
      <c r="C33" s="56"/>
      <c r="D33" s="59">
        <f aca="true" t="shared" si="3" ref="D33:K33">SUM(D30:D32)</f>
        <v>747773.1000000001</v>
      </c>
      <c r="E33" s="59">
        <f t="shared" si="3"/>
        <v>943352</v>
      </c>
      <c r="F33" s="59">
        <f t="shared" si="3"/>
        <v>386015</v>
      </c>
      <c r="G33" s="59">
        <f t="shared" si="3"/>
        <v>0</v>
      </c>
      <c r="H33" s="59">
        <f t="shared" si="3"/>
        <v>2077140.1</v>
      </c>
      <c r="I33" s="59">
        <f t="shared" si="3"/>
        <v>471033.10000000003</v>
      </c>
      <c r="J33" s="59">
        <f t="shared" si="3"/>
        <v>249257.695</v>
      </c>
      <c r="K33" s="59">
        <f t="shared" si="3"/>
        <v>1606107</v>
      </c>
    </row>
    <row r="34" ht="13.5" thickTop="1"/>
    <row r="35" spans="1:11" ht="12.75">
      <c r="A35" s="55">
        <f>A31+1</f>
        <v>5</v>
      </c>
      <c r="B35" s="5" t="s">
        <v>537</v>
      </c>
      <c r="C35" s="57">
        <v>0.25</v>
      </c>
      <c r="D35" s="14">
        <f>'RUF WORK FIXED ASSETS'!D54</f>
        <v>233481.3</v>
      </c>
      <c r="E35" s="14">
        <f>'RUF WORK FIXED ASSETS'!E54</f>
        <v>0</v>
      </c>
      <c r="F35" s="14">
        <f>'RUF WORK FIXED ASSETS'!F54</f>
        <v>0</v>
      </c>
      <c r="G35" s="14">
        <f>'RUF WORK FIXED ASSETS'!G54</f>
        <v>0</v>
      </c>
      <c r="H35" s="14">
        <f>'RUF WORK FIXED ASSETS'!H54</f>
        <v>233481.3</v>
      </c>
      <c r="I35" s="14">
        <f>'RUF WORK FIXED ASSETS'!I54</f>
        <v>58370.295</v>
      </c>
      <c r="J35" s="14">
        <f>'RUF WORK FIXED ASSETS'!J54</f>
        <v>77827.1</v>
      </c>
      <c r="K35" s="14">
        <f>'RUF WORK FIXED ASSETS'!K54</f>
        <v>175110.995</v>
      </c>
    </row>
    <row r="36" spans="1:11" ht="12.75">
      <c r="A36" s="55">
        <f>A35</f>
        <v>5</v>
      </c>
      <c r="B36" s="5" t="s">
        <v>504</v>
      </c>
      <c r="C36" s="56">
        <v>0.25</v>
      </c>
      <c r="D36" s="14">
        <f>'RUF WORK FIXED ASSETS'!D16</f>
        <v>88567.31</v>
      </c>
      <c r="E36" s="14">
        <f>'RUF WORK FIXED ASSETS'!E16</f>
        <v>0</v>
      </c>
      <c r="F36" s="14">
        <f>'RUF WORK FIXED ASSETS'!F16</f>
        <v>0</v>
      </c>
      <c r="G36" s="14">
        <f>'RUF WORK FIXED ASSETS'!G16</f>
        <v>0</v>
      </c>
      <c r="H36" s="14">
        <f>'RUF WORK FIXED ASSETS'!H16</f>
        <v>88567.31</v>
      </c>
      <c r="I36" s="14">
        <f>'RUF WORK FIXED ASSETS'!I16</f>
        <v>22142.3075</v>
      </c>
      <c r="J36" s="14">
        <f>'RUF WORK FIXED ASSETS'!J16</f>
        <v>29522.43</v>
      </c>
      <c r="K36" s="14">
        <f>'RUF WORK FIXED ASSETS'!K16</f>
        <v>66425.0025</v>
      </c>
    </row>
    <row r="37" spans="3:11" ht="13.5" thickBot="1">
      <c r="C37" s="56"/>
      <c r="D37" s="59">
        <f>SUM(D35:D36)</f>
        <v>322048.61</v>
      </c>
      <c r="E37" s="59">
        <f aca="true" t="shared" si="4" ref="E37:K37">SUM(E35:E36)</f>
        <v>0</v>
      </c>
      <c r="F37" s="59">
        <f t="shared" si="4"/>
        <v>0</v>
      </c>
      <c r="G37" s="59">
        <f t="shared" si="4"/>
        <v>0</v>
      </c>
      <c r="H37" s="59">
        <f t="shared" si="4"/>
        <v>322048.61</v>
      </c>
      <c r="I37" s="59">
        <f t="shared" si="4"/>
        <v>80512.6025</v>
      </c>
      <c r="J37" s="59">
        <f t="shared" si="4"/>
        <v>107349.53</v>
      </c>
      <c r="K37" s="59">
        <f t="shared" si="4"/>
        <v>241535.9975</v>
      </c>
    </row>
    <row r="38" spans="3:11" ht="13.5" thickTop="1">
      <c r="C38" s="56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55">
        <f>A36+1</f>
        <v>6</v>
      </c>
      <c r="B39" s="5" t="s">
        <v>603</v>
      </c>
      <c r="C39" s="56">
        <v>0.25</v>
      </c>
      <c r="D39" s="14">
        <f>'RUF WORK FIXED ASSETS'!D136</f>
        <v>9828.92</v>
      </c>
      <c r="E39" s="14">
        <f>'RUF WORK FIXED ASSETS'!E136</f>
        <v>0</v>
      </c>
      <c r="F39" s="14">
        <f>'RUF WORK FIXED ASSETS'!F136</f>
        <v>0</v>
      </c>
      <c r="G39" s="14">
        <f>'RUF WORK FIXED ASSETS'!G136</f>
        <v>0</v>
      </c>
      <c r="H39" s="14">
        <f>'RUF WORK FIXED ASSETS'!H136</f>
        <v>9828.92</v>
      </c>
      <c r="I39" s="14">
        <f>'RUF WORK FIXED ASSETS'!I136</f>
        <v>2456.92</v>
      </c>
      <c r="J39" s="14">
        <f>'RUF WORK FIXED ASSETS'!J136</f>
        <v>2705.4725</v>
      </c>
      <c r="K39" s="14">
        <f>'RUF WORK FIXED ASSETS'!K136</f>
        <v>7372</v>
      </c>
    </row>
    <row r="40" spans="1:11" ht="12.75">
      <c r="A40" s="55">
        <f>A39</f>
        <v>6</v>
      </c>
      <c r="B40" s="5" t="s">
        <v>538</v>
      </c>
      <c r="C40" s="57">
        <v>0.25</v>
      </c>
      <c r="D40" s="14">
        <f>'RUF WORK FIXED ASSETS'!D55</f>
        <v>75196.43</v>
      </c>
      <c r="E40" s="14">
        <f>'RUF WORK FIXED ASSETS'!E55</f>
        <v>1340</v>
      </c>
      <c r="F40" s="14">
        <f>'RUF WORK FIXED ASSETS'!F55</f>
        <v>0</v>
      </c>
      <c r="G40" s="14">
        <f>'RUF WORK FIXED ASSETS'!G55</f>
        <v>0</v>
      </c>
      <c r="H40" s="14">
        <f>'RUF WORK FIXED ASSETS'!H55</f>
        <v>76536.43</v>
      </c>
      <c r="I40" s="14">
        <f>'RUF WORK FIXED ASSETS'!I55</f>
        <v>19134.427499999998</v>
      </c>
      <c r="J40" s="14">
        <f>'RUF WORK FIXED ASSETS'!J55</f>
        <v>23240.48</v>
      </c>
      <c r="K40" s="14">
        <f>'RUF WORK FIXED ASSETS'!K55</f>
        <v>57402.002499999995</v>
      </c>
    </row>
    <row r="41" spans="1:11" ht="12.75">
      <c r="A41" s="55">
        <f>A40</f>
        <v>6</v>
      </c>
      <c r="B41" s="4" t="s">
        <v>601</v>
      </c>
      <c r="C41" s="56">
        <v>0.25</v>
      </c>
      <c r="D41" s="14">
        <f>'RUF WORK FIXED ASSETS'!D130</f>
        <v>400.46</v>
      </c>
      <c r="E41" s="14">
        <f>'RUF WORK FIXED ASSETS'!E130</f>
        <v>0</v>
      </c>
      <c r="F41" s="14">
        <f>'RUF WORK FIXED ASSETS'!F130</f>
        <v>0</v>
      </c>
      <c r="G41" s="14">
        <f>'RUF WORK FIXED ASSETS'!G130</f>
        <v>400.46</v>
      </c>
      <c r="H41" s="14">
        <f>'RUF WORK FIXED ASSETS'!H130</f>
        <v>0</v>
      </c>
      <c r="I41" s="14">
        <f>'RUF WORK FIXED ASSETS'!I130</f>
        <v>0</v>
      </c>
      <c r="J41" s="14">
        <f>'RUF WORK FIXED ASSETS'!J130</f>
        <v>133.49</v>
      </c>
      <c r="K41" s="14">
        <f>'RUF WORK FIXED ASSETS'!K130</f>
        <v>0</v>
      </c>
    </row>
    <row r="42" spans="1:11" ht="12.75">
      <c r="A42" s="55">
        <f>A41</f>
        <v>6</v>
      </c>
      <c r="B42" s="5" t="s">
        <v>505</v>
      </c>
      <c r="C42" s="56">
        <v>0.25</v>
      </c>
      <c r="D42" s="14">
        <f>'RUF WORK FIXED ASSETS'!D17</f>
        <v>0</v>
      </c>
      <c r="E42" s="14">
        <f>'RUF WORK FIXED ASSETS'!E17</f>
        <v>37382</v>
      </c>
      <c r="F42" s="14">
        <f>'RUF WORK FIXED ASSETS'!F17</f>
        <v>0</v>
      </c>
      <c r="G42" s="14">
        <f>'RUF WORK FIXED ASSETS'!G17</f>
        <v>0</v>
      </c>
      <c r="H42" s="14">
        <f>'RUF WORK FIXED ASSETS'!H17</f>
        <v>37382</v>
      </c>
      <c r="I42" s="14">
        <f>'RUF WORK FIXED ASSETS'!I17</f>
        <v>9346</v>
      </c>
      <c r="J42" s="14">
        <f>'RUF WORK FIXED ASSETS'!J17</f>
        <v>0</v>
      </c>
      <c r="K42" s="14">
        <f>'RUF WORK FIXED ASSETS'!K17</f>
        <v>28036</v>
      </c>
    </row>
    <row r="43" spans="3:11" ht="13.5" thickBot="1">
      <c r="C43" s="56"/>
      <c r="D43" s="59">
        <f>SUM(D39:D42)</f>
        <v>85425.81</v>
      </c>
      <c r="E43" s="59">
        <f aca="true" t="shared" si="5" ref="E43:K43">SUM(E39:E42)</f>
        <v>38722</v>
      </c>
      <c r="F43" s="59">
        <f t="shared" si="5"/>
        <v>0</v>
      </c>
      <c r="G43" s="59">
        <f t="shared" si="5"/>
        <v>400.46</v>
      </c>
      <c r="H43" s="59">
        <f t="shared" si="5"/>
        <v>123747.34999999999</v>
      </c>
      <c r="I43" s="59">
        <f t="shared" si="5"/>
        <v>30937.347499999996</v>
      </c>
      <c r="J43" s="59">
        <f t="shared" si="5"/>
        <v>26079.4425</v>
      </c>
      <c r="K43" s="59">
        <f t="shared" si="5"/>
        <v>92810.0025</v>
      </c>
    </row>
    <row r="44" spans="1:11" ht="13.5" thickTop="1">
      <c r="A44" s="55">
        <f>A42+1</f>
        <v>7</v>
      </c>
      <c r="B44" s="5" t="s">
        <v>560</v>
      </c>
      <c r="C44" s="56">
        <v>0.25</v>
      </c>
      <c r="D44" s="14">
        <f>'RUF WORK FIXED ASSETS'!D82</f>
        <v>521718.75</v>
      </c>
      <c r="E44" s="14">
        <f>'RUF WORK FIXED ASSETS'!E82</f>
        <v>0</v>
      </c>
      <c r="F44" s="14">
        <f>'RUF WORK FIXED ASSETS'!F82</f>
        <v>0</v>
      </c>
      <c r="G44" s="14">
        <f>'RUF WORK FIXED ASSETS'!G82</f>
        <v>0</v>
      </c>
      <c r="H44" s="14">
        <f>'RUF WORK FIXED ASSETS'!H82</f>
        <v>521718.75</v>
      </c>
      <c r="I44" s="14">
        <f>'RUF WORK FIXED ASSETS'!I82</f>
        <v>130429.7475</v>
      </c>
      <c r="J44" s="14">
        <f>'RUF WORK FIXED ASSETS'!J82</f>
        <v>173906.25</v>
      </c>
      <c r="K44" s="14">
        <f>'RUF WORK FIXED ASSETS'!K82</f>
        <v>391289.0025</v>
      </c>
    </row>
    <row r="45" spans="3:11" ht="13.5" thickBot="1">
      <c r="C45" s="56"/>
      <c r="D45" s="59">
        <f>SUM(D44:D44)</f>
        <v>521718.75</v>
      </c>
      <c r="E45" s="59">
        <f aca="true" t="shared" si="6" ref="E45:K45">SUM(E44:E44)</f>
        <v>0</v>
      </c>
      <c r="F45" s="59">
        <f t="shared" si="6"/>
        <v>0</v>
      </c>
      <c r="G45" s="59">
        <f t="shared" si="6"/>
        <v>0</v>
      </c>
      <c r="H45" s="59">
        <f t="shared" si="6"/>
        <v>521718.75</v>
      </c>
      <c r="I45" s="59">
        <f t="shared" si="6"/>
        <v>130429.7475</v>
      </c>
      <c r="J45" s="59">
        <f t="shared" si="6"/>
        <v>173906.25</v>
      </c>
      <c r="K45" s="59">
        <f t="shared" si="6"/>
        <v>391289.0025</v>
      </c>
    </row>
    <row r="46" spans="3:11" ht="13.5" thickTop="1">
      <c r="C46" s="56"/>
      <c r="D46" s="34"/>
      <c r="E46" s="34"/>
      <c r="F46" s="34"/>
      <c r="G46" s="34"/>
      <c r="H46" s="34"/>
      <c r="I46" s="34"/>
      <c r="J46" s="34"/>
      <c r="K46" s="34"/>
    </row>
    <row r="47" spans="1:11" ht="12.75">
      <c r="A47" s="55">
        <f>A44+1</f>
        <v>8</v>
      </c>
      <c r="B47" s="5" t="s">
        <v>563</v>
      </c>
      <c r="C47" s="56">
        <v>0.25</v>
      </c>
      <c r="D47" s="14">
        <f>'RUF WORK FIXED ASSETS'!D85</f>
        <v>0</v>
      </c>
      <c r="E47" s="14">
        <f>'RUF WORK FIXED ASSETS'!E85</f>
        <v>0</v>
      </c>
      <c r="F47" s="14">
        <f>'RUF WORK FIXED ASSETS'!F85</f>
        <v>9700</v>
      </c>
      <c r="G47" s="14">
        <f>'RUF WORK FIXED ASSETS'!G85</f>
        <v>0</v>
      </c>
      <c r="H47" s="14">
        <f>'RUF WORK FIXED ASSETS'!H85</f>
        <v>9700</v>
      </c>
      <c r="I47" s="14">
        <f>'RUF WORK FIXED ASSETS'!I85</f>
        <v>1213</v>
      </c>
      <c r="J47" s="14">
        <f>'RUF WORK FIXED ASSETS'!J85</f>
        <v>0</v>
      </c>
      <c r="K47" s="14">
        <f>'RUF WORK FIXED ASSETS'!K85</f>
        <v>8487</v>
      </c>
    </row>
    <row r="48" spans="1:11" ht="12.75">
      <c r="A48" s="55">
        <f>A47</f>
        <v>8</v>
      </c>
      <c r="B48" s="5" t="s">
        <v>506</v>
      </c>
      <c r="C48" s="56">
        <v>0.25</v>
      </c>
      <c r="D48" s="14">
        <f>'RUF WORK FIXED ASSETS'!D18</f>
        <v>15662.61</v>
      </c>
      <c r="E48" s="14">
        <f>'RUF WORK FIXED ASSETS'!E18</f>
        <v>0</v>
      </c>
      <c r="F48" s="14">
        <f>'RUF WORK FIXED ASSETS'!F18</f>
        <v>0</v>
      </c>
      <c r="G48" s="14">
        <f>'RUF WORK FIXED ASSETS'!G18</f>
        <v>0</v>
      </c>
      <c r="H48" s="14">
        <f>'RUF WORK FIXED ASSETS'!H18</f>
        <v>15662.61</v>
      </c>
      <c r="I48" s="14">
        <f>'RUF WORK FIXED ASSETS'!I18</f>
        <v>3915.6125</v>
      </c>
      <c r="J48" s="14">
        <f>'RUF WORK FIXED ASSETS'!J18</f>
        <v>5220.87</v>
      </c>
      <c r="K48" s="14">
        <f>'RUF WORK FIXED ASSETS'!K18</f>
        <v>11746.997500000001</v>
      </c>
    </row>
    <row r="49" spans="3:11" ht="13.5" thickBot="1">
      <c r="C49" s="56"/>
      <c r="D49" s="59">
        <f>SUM(D47:D48)</f>
        <v>15662.61</v>
      </c>
      <c r="E49" s="59">
        <f aca="true" t="shared" si="7" ref="E49:K49">SUM(E47:E48)</f>
        <v>0</v>
      </c>
      <c r="F49" s="59">
        <f t="shared" si="7"/>
        <v>9700</v>
      </c>
      <c r="G49" s="59">
        <f t="shared" si="7"/>
        <v>0</v>
      </c>
      <c r="H49" s="59">
        <f t="shared" si="7"/>
        <v>25362.61</v>
      </c>
      <c r="I49" s="59">
        <f t="shared" si="7"/>
        <v>5128.6125</v>
      </c>
      <c r="J49" s="59">
        <f t="shared" si="7"/>
        <v>5220.87</v>
      </c>
      <c r="K49" s="59">
        <f t="shared" si="7"/>
        <v>20233.9975</v>
      </c>
    </row>
    <row r="50" spans="3:11" ht="13.5" thickTop="1">
      <c r="C50" s="56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55">
        <f>A48+1</f>
        <v>9</v>
      </c>
      <c r="B51" s="5" t="s">
        <v>540</v>
      </c>
      <c r="C51" s="56">
        <v>0.25</v>
      </c>
      <c r="D51" s="14">
        <f>'RUF WORK FIXED ASSETS'!D57</f>
        <v>73199.47</v>
      </c>
      <c r="E51" s="14">
        <f>'RUF WORK FIXED ASSETS'!E57</f>
        <v>0</v>
      </c>
      <c r="F51" s="14">
        <f>'RUF WORK FIXED ASSETS'!F57</f>
        <v>0</v>
      </c>
      <c r="G51" s="14">
        <f>'RUF WORK FIXED ASSETS'!G57</f>
        <v>0</v>
      </c>
      <c r="H51" s="14">
        <f>'RUF WORK FIXED ASSETS'!H57</f>
        <v>73199.47</v>
      </c>
      <c r="I51" s="14">
        <f>'RUF WORK FIXED ASSETS'!I57</f>
        <v>18299.4675</v>
      </c>
      <c r="J51" s="14">
        <f>'RUF WORK FIXED ASSETS'!J57</f>
        <v>24399.83</v>
      </c>
      <c r="K51" s="14">
        <f>'RUF WORK FIXED ASSETS'!K57</f>
        <v>54900.0025</v>
      </c>
    </row>
    <row r="52" spans="3:11" ht="13.5" thickBot="1">
      <c r="C52" s="56"/>
      <c r="D52" s="59">
        <f>SUM(D51:D51)</f>
        <v>73199.47</v>
      </c>
      <c r="E52" s="59">
        <f aca="true" t="shared" si="8" ref="E52:K52">SUM(E51:E51)</f>
        <v>0</v>
      </c>
      <c r="F52" s="59">
        <f t="shared" si="8"/>
        <v>0</v>
      </c>
      <c r="G52" s="59">
        <f t="shared" si="8"/>
        <v>0</v>
      </c>
      <c r="H52" s="59">
        <f t="shared" si="8"/>
        <v>73199.47</v>
      </c>
      <c r="I52" s="59">
        <f t="shared" si="8"/>
        <v>18299.4675</v>
      </c>
      <c r="J52" s="59">
        <f t="shared" si="8"/>
        <v>24399.83</v>
      </c>
      <c r="K52" s="59">
        <f t="shared" si="8"/>
        <v>54900.0025</v>
      </c>
    </row>
    <row r="53" spans="3:11" ht="13.5" thickTop="1">
      <c r="C53" s="56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55">
        <f>A51+1</f>
        <v>10</v>
      </c>
      <c r="B54" s="5" t="s">
        <v>561</v>
      </c>
      <c r="C54" s="56">
        <v>0.5</v>
      </c>
      <c r="D54" s="14">
        <f>'RUF WORK FIXED ASSETS'!D83</f>
        <v>3781.62</v>
      </c>
      <c r="E54" s="14">
        <f>'RUF WORK FIXED ASSETS'!E83</f>
        <v>52290</v>
      </c>
      <c r="F54" s="14">
        <f>'RUF WORK FIXED ASSETS'!F83</f>
        <v>0</v>
      </c>
      <c r="G54" s="14">
        <f>'RUF WORK FIXED ASSETS'!G83</f>
        <v>0</v>
      </c>
      <c r="H54" s="14">
        <f>'RUF WORK FIXED ASSETS'!H83</f>
        <v>56071.62</v>
      </c>
      <c r="I54" s="14">
        <f>'RUF WORK FIXED ASSETS'!I83</f>
        <v>28035.620000000003</v>
      </c>
      <c r="J54" s="14">
        <f>'RUF WORK FIXED ASSETS'!J83</f>
        <v>3781.63</v>
      </c>
      <c r="K54" s="14">
        <f>'RUF WORK FIXED ASSETS'!K83</f>
        <v>28036</v>
      </c>
    </row>
    <row r="55" spans="1:11" ht="12.75">
      <c r="A55" s="55">
        <f>A54</f>
        <v>10</v>
      </c>
      <c r="B55" s="5" t="s">
        <v>541</v>
      </c>
      <c r="C55" s="56">
        <v>0.25</v>
      </c>
      <c r="D55" s="14">
        <f>'RUF WORK FIXED ASSETS'!D58</f>
        <v>0</v>
      </c>
      <c r="E55" s="14">
        <f>'RUF WORK FIXED ASSETS'!E58</f>
        <v>15210</v>
      </c>
      <c r="F55" s="14">
        <f>'RUF WORK FIXED ASSETS'!F58</f>
        <v>0</v>
      </c>
      <c r="G55" s="14">
        <f>'RUF WORK FIXED ASSETS'!G58</f>
        <v>0</v>
      </c>
      <c r="H55" s="14">
        <f>'RUF WORK FIXED ASSETS'!H58</f>
        <v>15210</v>
      </c>
      <c r="I55" s="14">
        <f>'RUF WORK FIXED ASSETS'!I58</f>
        <v>3803</v>
      </c>
      <c r="J55" s="14">
        <f>'RUF WORK FIXED ASSETS'!J58</f>
        <v>0</v>
      </c>
      <c r="K55" s="14">
        <f>'RUF WORK FIXED ASSETS'!K58</f>
        <v>11407</v>
      </c>
    </row>
    <row r="56" spans="3:11" ht="13.5" thickBot="1">
      <c r="C56" s="56"/>
      <c r="D56" s="59">
        <f>SUM(D54:D55)</f>
        <v>3781.62</v>
      </c>
      <c r="E56" s="59">
        <f aca="true" t="shared" si="9" ref="E56:K56">SUM(E54:E55)</f>
        <v>67500</v>
      </c>
      <c r="F56" s="59">
        <f t="shared" si="9"/>
        <v>0</v>
      </c>
      <c r="G56" s="59">
        <f t="shared" si="9"/>
        <v>0</v>
      </c>
      <c r="H56" s="59">
        <f t="shared" si="9"/>
        <v>71281.62</v>
      </c>
      <c r="I56" s="59">
        <f t="shared" si="9"/>
        <v>31838.620000000003</v>
      </c>
      <c r="J56" s="59">
        <f t="shared" si="9"/>
        <v>3781.63</v>
      </c>
      <c r="K56" s="59">
        <f t="shared" si="9"/>
        <v>39443</v>
      </c>
    </row>
    <row r="57" spans="3:11" ht="13.5" thickTop="1">
      <c r="C57" s="56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55">
        <f>A55+1</f>
        <v>11</v>
      </c>
      <c r="B58" s="5" t="s">
        <v>507</v>
      </c>
      <c r="C58" s="56">
        <v>0.25</v>
      </c>
      <c r="D58" s="14">
        <f>'RUF WORK FIXED ASSETS'!D19</f>
        <v>32927.36</v>
      </c>
      <c r="E58" s="14">
        <f>'RUF WORK FIXED ASSETS'!E19</f>
        <v>0</v>
      </c>
      <c r="F58" s="14">
        <f>'RUF WORK FIXED ASSETS'!F19</f>
        <v>0</v>
      </c>
      <c r="G58" s="14">
        <f>'RUF WORK FIXED ASSETS'!G19</f>
        <v>0</v>
      </c>
      <c r="H58" s="14">
        <f>'RUF WORK FIXED ASSETS'!H19</f>
        <v>32927.36</v>
      </c>
      <c r="I58" s="14">
        <f>'RUF WORK FIXED ASSETS'!I19</f>
        <v>8231.36</v>
      </c>
      <c r="J58" s="14">
        <f>'RUF WORK FIXED ASSETS'!J19</f>
        <v>10975.78</v>
      </c>
      <c r="K58" s="14">
        <f>'RUF WORK FIXED ASSETS'!K19</f>
        <v>24696</v>
      </c>
    </row>
    <row r="59" spans="3:11" ht="13.5" thickBot="1">
      <c r="C59" s="56"/>
      <c r="D59" s="59">
        <f>SUM(D58:D58)</f>
        <v>32927.36</v>
      </c>
      <c r="E59" s="59">
        <f aca="true" t="shared" si="10" ref="E59:K59">SUM(E58:E58)</f>
        <v>0</v>
      </c>
      <c r="F59" s="59">
        <f t="shared" si="10"/>
        <v>0</v>
      </c>
      <c r="G59" s="59">
        <f t="shared" si="10"/>
        <v>0</v>
      </c>
      <c r="H59" s="59">
        <f t="shared" si="10"/>
        <v>32927.36</v>
      </c>
      <c r="I59" s="59">
        <f t="shared" si="10"/>
        <v>8231.36</v>
      </c>
      <c r="J59" s="59">
        <f t="shared" si="10"/>
        <v>10975.78</v>
      </c>
      <c r="K59" s="59">
        <f t="shared" si="10"/>
        <v>24696</v>
      </c>
    </row>
    <row r="60" spans="3:11" ht="13.5" thickTop="1">
      <c r="C60" s="56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55">
        <f>A58+1</f>
        <v>12</v>
      </c>
      <c r="B61" s="5" t="s">
        <v>604</v>
      </c>
      <c r="C61" s="56">
        <v>0.15</v>
      </c>
      <c r="D61" s="14">
        <f>'RUF WORK FIXED ASSETS'!D137</f>
        <v>479808.91</v>
      </c>
      <c r="E61" s="14">
        <f>'RUF WORK FIXED ASSETS'!E137</f>
        <v>235456</v>
      </c>
      <c r="F61" s="14">
        <f>'RUF WORK FIXED ASSETS'!F137</f>
        <v>18724</v>
      </c>
      <c r="G61" s="14">
        <f>'RUF WORK FIXED ASSETS'!G137</f>
        <v>0</v>
      </c>
      <c r="H61" s="14">
        <f>'RUF WORK FIXED ASSETS'!H137</f>
        <v>733988.9099999999</v>
      </c>
      <c r="I61" s="14">
        <f>'RUF WORK FIXED ASSETS'!I137</f>
        <v>108693.90649999998</v>
      </c>
      <c r="J61" s="14">
        <f>'RUF WORK FIXED ASSETS'!J137</f>
        <v>79550.9835</v>
      </c>
      <c r="K61" s="14">
        <f>'RUF WORK FIXED ASSETS'!K137</f>
        <v>625295.0034999999</v>
      </c>
    </row>
    <row r="62" spans="1:11" ht="12.75">
      <c r="A62" s="55">
        <f>A61</f>
        <v>12</v>
      </c>
      <c r="B62" s="5" t="s">
        <v>508</v>
      </c>
      <c r="C62" s="56">
        <v>0.15</v>
      </c>
      <c r="D62" s="14">
        <f>'RUF WORK FIXED ASSETS'!D20</f>
        <v>1175864.47</v>
      </c>
      <c r="E62" s="14">
        <f>'RUF WORK FIXED ASSETS'!E20</f>
        <v>13946</v>
      </c>
      <c r="F62" s="14">
        <f>'RUF WORK FIXED ASSETS'!F20</f>
        <v>0</v>
      </c>
      <c r="G62" s="14">
        <f>'RUF WORK FIXED ASSETS'!G20</f>
        <v>0</v>
      </c>
      <c r="H62" s="14">
        <f>'RUF WORK FIXED ASSETS'!H20</f>
        <v>1189810.47</v>
      </c>
      <c r="I62" s="14">
        <f>'RUF WORK FIXED ASSETS'!I20</f>
        <v>178471.4705</v>
      </c>
      <c r="J62" s="14">
        <f>'RUF WORK FIXED ASSETS'!J20</f>
        <v>189753.97</v>
      </c>
      <c r="K62" s="14">
        <f>'RUF WORK FIXED ASSETS'!K20</f>
        <v>1011338.9994999999</v>
      </c>
    </row>
    <row r="63" spans="1:11" ht="12.75">
      <c r="A63" s="55">
        <f>A62</f>
        <v>12</v>
      </c>
      <c r="B63" s="4" t="s">
        <v>591</v>
      </c>
      <c r="C63" s="56">
        <v>0.15</v>
      </c>
      <c r="D63" s="14">
        <f>'RUF WORK FIXED ASSETS'!D120</f>
        <v>3998.36</v>
      </c>
      <c r="E63" s="14">
        <f>'RUF WORK FIXED ASSETS'!E120</f>
        <v>0</v>
      </c>
      <c r="F63" s="14">
        <f>'RUF WORK FIXED ASSETS'!F120</f>
        <v>0</v>
      </c>
      <c r="G63" s="14">
        <f>'RUF WORK FIXED ASSETS'!G120</f>
        <v>0</v>
      </c>
      <c r="H63" s="14">
        <f>'RUF WORK FIXED ASSETS'!H120</f>
        <v>3998.36</v>
      </c>
      <c r="I63" s="14">
        <f>'RUF WORK FIXED ASSETS'!I120</f>
        <v>599.364</v>
      </c>
      <c r="J63" s="14">
        <f>'RUF WORK FIXED ASSETS'!J120</f>
        <v>705.59</v>
      </c>
      <c r="K63" s="14">
        <f>'RUF WORK FIXED ASSETS'!K120</f>
        <v>3398.996</v>
      </c>
    </row>
    <row r="64" spans="1:11" ht="12.75">
      <c r="A64" s="55">
        <f>A63</f>
        <v>12</v>
      </c>
      <c r="B64" s="5" t="s">
        <v>562</v>
      </c>
      <c r="C64" s="56">
        <v>0.15</v>
      </c>
      <c r="D64" s="14">
        <f>'RUF WORK FIXED ASSETS'!D84</f>
        <v>1748732.84</v>
      </c>
      <c r="E64" s="14">
        <f>'RUF WORK FIXED ASSETS'!E84</f>
        <v>529993</v>
      </c>
      <c r="F64" s="14">
        <f>'RUF WORK FIXED ASSETS'!F84</f>
        <v>233790</v>
      </c>
      <c r="G64" s="14">
        <f>'RUF WORK FIXED ASSETS'!G84</f>
        <v>0</v>
      </c>
      <c r="H64" s="14">
        <f>'RUF WORK FIXED ASSETS'!H84</f>
        <v>2512515.84</v>
      </c>
      <c r="I64" s="14">
        <f>'RUF WORK FIXED ASSETS'!I84</f>
        <v>359342.836</v>
      </c>
      <c r="J64" s="14">
        <f>'RUF WORK FIXED ASSETS'!J84</f>
        <v>292594.21</v>
      </c>
      <c r="K64" s="14">
        <f>'RUF WORK FIXED ASSETS'!K84</f>
        <v>2153173.0039999997</v>
      </c>
    </row>
    <row r="65" spans="1:11" ht="12.75">
      <c r="A65" s="55">
        <f>A64</f>
        <v>12</v>
      </c>
      <c r="B65" s="5" t="s">
        <v>542</v>
      </c>
      <c r="C65" s="56">
        <v>0.15</v>
      </c>
      <c r="D65" s="14">
        <f>'RUF WORK FIXED ASSETS'!D59</f>
        <v>1891164.32</v>
      </c>
      <c r="E65" s="14">
        <f>'RUF WORK FIXED ASSETS'!E59</f>
        <v>136713</v>
      </c>
      <c r="F65" s="14">
        <f>'RUF WORK FIXED ASSETS'!F59</f>
        <v>96774</v>
      </c>
      <c r="G65" s="14">
        <f>'RUF WORK FIXED ASSETS'!G59</f>
        <v>0</v>
      </c>
      <c r="H65" s="14">
        <f>'RUF WORK FIXED ASSETS'!H59</f>
        <v>2124651.3200000003</v>
      </c>
      <c r="I65" s="14">
        <f>'RUF WORK FIXED ASSETS'!I59</f>
        <v>311439.31799999997</v>
      </c>
      <c r="J65" s="14">
        <f>'RUF WORK FIXED ASSETS'!J59</f>
        <v>300585.5</v>
      </c>
      <c r="K65" s="14">
        <f>'RUF WORK FIXED ASSETS'!K59</f>
        <v>1813212.0020000003</v>
      </c>
    </row>
    <row r="66" spans="3:11" ht="13.5" thickBot="1">
      <c r="C66" s="56"/>
      <c r="D66" s="59">
        <f>SUM(D61:D65)</f>
        <v>5299568.9</v>
      </c>
      <c r="E66" s="59">
        <f aca="true" t="shared" si="11" ref="E66:J66">SUM(E61:E65)</f>
        <v>916108</v>
      </c>
      <c r="F66" s="59">
        <f t="shared" si="11"/>
        <v>349288</v>
      </c>
      <c r="G66" s="59">
        <f t="shared" si="11"/>
        <v>0</v>
      </c>
      <c r="H66" s="59">
        <f t="shared" si="11"/>
        <v>6564964.9</v>
      </c>
      <c r="I66" s="59">
        <f t="shared" si="11"/>
        <v>958546.895</v>
      </c>
      <c r="J66" s="59">
        <f t="shared" si="11"/>
        <v>863190.2535000001</v>
      </c>
      <c r="K66" s="59">
        <f>SUM(K61:K65)-0.008</f>
        <v>5606417.9969999995</v>
      </c>
    </row>
    <row r="67" spans="3:11" ht="13.5" thickTop="1">
      <c r="C67" s="56"/>
      <c r="D67" s="14"/>
      <c r="E67" s="14"/>
      <c r="F67" s="14"/>
      <c r="G67" s="14"/>
      <c r="H67" s="14"/>
      <c r="I67" s="14"/>
      <c r="J67" s="14"/>
      <c r="K67" s="14"/>
    </row>
    <row r="68" spans="1:11" ht="12.75">
      <c r="A68" s="55">
        <f>A65+1</f>
        <v>13</v>
      </c>
      <c r="B68" s="5" t="s">
        <v>543</v>
      </c>
      <c r="C68" s="56">
        <v>0.25</v>
      </c>
      <c r="D68" s="14">
        <f>'RUF WORK FIXED ASSETS'!D60</f>
        <v>1093.58</v>
      </c>
      <c r="E68" s="14">
        <f>'RUF WORK FIXED ASSETS'!E60</f>
        <v>0</v>
      </c>
      <c r="F68" s="14">
        <f>'RUF WORK FIXED ASSETS'!F60</f>
        <v>0</v>
      </c>
      <c r="G68" s="14">
        <f>'RUF WORK FIXED ASSETS'!G60</f>
        <v>0</v>
      </c>
      <c r="H68" s="14">
        <f>'RUF WORK FIXED ASSETS'!H60</f>
        <v>1093.58</v>
      </c>
      <c r="I68" s="14">
        <f>'RUF WORK FIXED ASSETS'!I60</f>
        <v>273.575</v>
      </c>
      <c r="J68" s="14">
        <f>'RUF WORK FIXED ASSETS'!J60</f>
        <v>364.52</v>
      </c>
      <c r="K68" s="14">
        <f>'RUF WORK FIXED ASSETS'!K60</f>
        <v>819.9949999999999</v>
      </c>
    </row>
    <row r="69" spans="1:11" ht="12.75">
      <c r="A69" s="55">
        <f>A68</f>
        <v>13</v>
      </c>
      <c r="B69" s="5" t="s">
        <v>509</v>
      </c>
      <c r="C69" s="56">
        <v>0.25</v>
      </c>
      <c r="D69" s="14">
        <f>'RUF WORK FIXED ASSETS'!D21</f>
        <v>22693.91</v>
      </c>
      <c r="E69" s="14">
        <f>'RUF WORK FIXED ASSETS'!E21</f>
        <v>0</v>
      </c>
      <c r="F69" s="14">
        <f>'RUF WORK FIXED ASSETS'!F21</f>
        <v>8000</v>
      </c>
      <c r="G69" s="14">
        <f>'RUF WORK FIXED ASSETS'!G21</f>
        <v>0</v>
      </c>
      <c r="H69" s="14">
        <f>'RUF WORK FIXED ASSETS'!H21</f>
        <v>30693.91</v>
      </c>
      <c r="I69" s="14">
        <f>'RUF WORK FIXED ASSETS'!I21</f>
        <v>6673.9075</v>
      </c>
      <c r="J69" s="14">
        <f>'RUF WORK FIXED ASSETS'!J21</f>
        <v>3564.64</v>
      </c>
      <c r="K69" s="14">
        <f>'RUF WORK FIXED ASSETS'!K21</f>
        <v>24020.0025</v>
      </c>
    </row>
    <row r="70" spans="3:11" ht="13.5" thickBot="1">
      <c r="C70" s="56"/>
      <c r="D70" s="59">
        <f>SUM(D68:D69)</f>
        <v>23787.489999999998</v>
      </c>
      <c r="E70" s="59">
        <f aca="true" t="shared" si="12" ref="E70:K70">SUM(E68:E69)</f>
        <v>0</v>
      </c>
      <c r="F70" s="59">
        <f t="shared" si="12"/>
        <v>8000</v>
      </c>
      <c r="G70" s="59">
        <f t="shared" si="12"/>
        <v>0</v>
      </c>
      <c r="H70" s="59">
        <f t="shared" si="12"/>
        <v>31787.489999999998</v>
      </c>
      <c r="I70" s="59">
        <f t="shared" si="12"/>
        <v>6947.4825</v>
      </c>
      <c r="J70" s="59">
        <f t="shared" si="12"/>
        <v>3929.16</v>
      </c>
      <c r="K70" s="59">
        <f t="shared" si="12"/>
        <v>24839.997499999998</v>
      </c>
    </row>
    <row r="71" spans="3:11" ht="13.5" thickTop="1">
      <c r="C71" s="56"/>
      <c r="D71" s="14"/>
      <c r="E71" s="14"/>
      <c r="F71" s="14"/>
      <c r="G71" s="14"/>
      <c r="H71" s="14"/>
      <c r="I71" s="14"/>
      <c r="J71" s="14"/>
      <c r="K71" s="14"/>
    </row>
    <row r="72" spans="1:11" ht="12.75">
      <c r="A72" s="55">
        <f>A69+1</f>
        <v>14</v>
      </c>
      <c r="B72" s="5" t="s">
        <v>605</v>
      </c>
      <c r="C72" s="56">
        <v>0.25</v>
      </c>
      <c r="D72" s="14">
        <f>'RUF WORK FIXED ASSETS'!D138</f>
        <v>39771.23</v>
      </c>
      <c r="E72" s="14">
        <f>'RUF WORK FIXED ASSETS'!E138</f>
        <v>16815</v>
      </c>
      <c r="F72" s="14">
        <f>'RUF WORK FIXED ASSETS'!F138</f>
        <v>0</v>
      </c>
      <c r="G72" s="14">
        <f>'RUF WORK FIXED ASSETS'!G138</f>
        <v>0</v>
      </c>
      <c r="H72" s="14">
        <f>'RUF WORK FIXED ASSETS'!H138</f>
        <v>56586.23</v>
      </c>
      <c r="I72" s="14">
        <f>'RUF WORK FIXED ASSETS'!I138</f>
        <v>14146.2275</v>
      </c>
      <c r="J72" s="14">
        <f>'RUF WORK FIXED ASSETS'!J138</f>
        <v>10735.41</v>
      </c>
      <c r="K72" s="14">
        <f>'RUF WORK FIXED ASSETS'!K138</f>
        <v>42440.0025</v>
      </c>
    </row>
    <row r="73" spans="3:11" ht="13.5" thickBot="1">
      <c r="C73" s="56"/>
      <c r="D73" s="59">
        <f>SUM(D72:D72)</f>
        <v>39771.23</v>
      </c>
      <c r="E73" s="59">
        <f aca="true" t="shared" si="13" ref="E73:K73">SUM(E72:E72)</f>
        <v>16815</v>
      </c>
      <c r="F73" s="59">
        <f t="shared" si="13"/>
        <v>0</v>
      </c>
      <c r="G73" s="59">
        <f t="shared" si="13"/>
        <v>0</v>
      </c>
      <c r="H73" s="59">
        <f t="shared" si="13"/>
        <v>56586.23</v>
      </c>
      <c r="I73" s="59">
        <f t="shared" si="13"/>
        <v>14146.2275</v>
      </c>
      <c r="J73" s="59">
        <f t="shared" si="13"/>
        <v>10735.41</v>
      </c>
      <c r="K73" s="59">
        <f t="shared" si="13"/>
        <v>42440.0025</v>
      </c>
    </row>
    <row r="74" spans="3:11" ht="13.5" thickTop="1">
      <c r="C74" s="56"/>
      <c r="D74" s="14"/>
      <c r="E74" s="14"/>
      <c r="F74" s="14"/>
      <c r="G74" s="14"/>
      <c r="H74" s="14"/>
      <c r="I74" s="14"/>
      <c r="J74" s="14"/>
      <c r="K74" s="14"/>
    </row>
    <row r="75" spans="1:11" ht="12.75">
      <c r="A75" s="55">
        <f>A72+1</f>
        <v>15</v>
      </c>
      <c r="B75" s="5" t="s">
        <v>606</v>
      </c>
      <c r="C75" s="56">
        <v>0.25</v>
      </c>
      <c r="D75" s="14">
        <f>'RUF WORK FIXED ASSETS'!D139</f>
        <v>95138.02</v>
      </c>
      <c r="E75" s="14">
        <f>'RUF WORK FIXED ASSETS'!E139</f>
        <v>47084</v>
      </c>
      <c r="F75" s="14">
        <f>'RUF WORK FIXED ASSETS'!F139</f>
        <v>4561</v>
      </c>
      <c r="G75" s="14">
        <f>'RUF WORK FIXED ASSETS'!G139</f>
        <v>0</v>
      </c>
      <c r="H75" s="14">
        <f>'RUF WORK FIXED ASSETS'!H139</f>
        <v>146783.02000000002</v>
      </c>
      <c r="I75" s="14">
        <f>'RUF WORK FIXED ASSETS'!I139</f>
        <v>36126.020000000004</v>
      </c>
      <c r="J75" s="14">
        <f>'RUF WORK FIXED ASSETS'!J139</f>
        <v>25491.352499999997</v>
      </c>
      <c r="K75" s="14">
        <f>'RUF WORK FIXED ASSETS'!K139</f>
        <v>110657.00000000001</v>
      </c>
    </row>
    <row r="76" spans="3:11" ht="13.5" thickBot="1">
      <c r="C76" s="56"/>
      <c r="D76" s="59">
        <f>SUM(D75:D75)</f>
        <v>95138.02</v>
      </c>
      <c r="E76" s="59">
        <f aca="true" t="shared" si="14" ref="E76:K76">SUM(E75:E75)</f>
        <v>47084</v>
      </c>
      <c r="F76" s="59">
        <f t="shared" si="14"/>
        <v>4561</v>
      </c>
      <c r="G76" s="59">
        <f t="shared" si="14"/>
        <v>0</v>
      </c>
      <c r="H76" s="59">
        <f t="shared" si="14"/>
        <v>146783.02000000002</v>
      </c>
      <c r="I76" s="59">
        <f t="shared" si="14"/>
        <v>36126.020000000004</v>
      </c>
      <c r="J76" s="59">
        <f t="shared" si="14"/>
        <v>25491.352499999997</v>
      </c>
      <c r="K76" s="59">
        <f t="shared" si="14"/>
        <v>110657.00000000001</v>
      </c>
    </row>
    <row r="77" spans="3:11" ht="13.5" thickTop="1">
      <c r="C77" s="56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s="55">
        <f>A75+1</f>
        <v>16</v>
      </c>
      <c r="B78" s="5" t="s">
        <v>539</v>
      </c>
      <c r="C78" s="56">
        <v>0.25</v>
      </c>
      <c r="D78" s="14">
        <f>'RUF WORK FIXED ASSETS'!D56</f>
        <v>0</v>
      </c>
      <c r="E78" s="14">
        <f>'RUF WORK FIXED ASSETS'!E56</f>
        <v>0</v>
      </c>
      <c r="F78" s="14">
        <f>'RUF WORK FIXED ASSETS'!F56</f>
        <v>2524731</v>
      </c>
      <c r="G78" s="14">
        <f>'RUF WORK FIXED ASSETS'!G56</f>
        <v>0</v>
      </c>
      <c r="H78" s="14">
        <f>'RUF WORK FIXED ASSETS'!H56</f>
        <v>2524731</v>
      </c>
      <c r="I78" s="14">
        <f>'RUF WORK FIXED ASSETS'!I56</f>
        <v>315590.995</v>
      </c>
      <c r="J78" s="14">
        <f>'RUF WORK FIXED ASSETS'!J56</f>
        <v>0</v>
      </c>
      <c r="K78" s="14">
        <f>'RUF WORK FIXED ASSETS'!K56</f>
        <v>2209139.995</v>
      </c>
    </row>
    <row r="79" spans="1:11" ht="12.75">
      <c r="A79" s="55">
        <f>A78</f>
        <v>16</v>
      </c>
      <c r="B79" s="5" t="s">
        <v>564</v>
      </c>
      <c r="C79" s="56">
        <v>0.25</v>
      </c>
      <c r="D79" s="14">
        <f>'RUF WORK FIXED ASSETS'!D86</f>
        <v>69974.27</v>
      </c>
      <c r="E79" s="14">
        <f>'RUF WORK FIXED ASSETS'!E86</f>
        <v>0</v>
      </c>
      <c r="F79" s="14">
        <f>'RUF WORK FIXED ASSETS'!F86</f>
        <v>0</v>
      </c>
      <c r="G79" s="14">
        <f>'RUF WORK FIXED ASSETS'!G86</f>
        <v>0</v>
      </c>
      <c r="H79" s="14">
        <f>'RUF WORK FIXED ASSETS'!H86</f>
        <v>69974.27</v>
      </c>
      <c r="I79" s="14">
        <f>'RUF WORK FIXED ASSETS'!I86</f>
        <v>17493.2675</v>
      </c>
      <c r="J79" s="14">
        <f>'RUF WORK FIXED ASSETS'!J86</f>
        <v>23324.76</v>
      </c>
      <c r="K79" s="14">
        <f>'RUF WORK FIXED ASSETS'!K86</f>
        <v>52481.0025</v>
      </c>
    </row>
    <row r="80" spans="1:11" ht="12.75">
      <c r="A80" s="55">
        <f aca="true" t="shared" si="15" ref="A80:A86">A79</f>
        <v>16</v>
      </c>
      <c r="B80" s="5" t="s">
        <v>567</v>
      </c>
      <c r="C80" s="56">
        <v>0.25</v>
      </c>
      <c r="D80" s="14">
        <f>'RUF WORK FIXED ASSETS'!D89</f>
        <v>300069.1</v>
      </c>
      <c r="E80" s="14">
        <f>'RUF WORK FIXED ASSETS'!E89</f>
        <v>0</v>
      </c>
      <c r="F80" s="14">
        <f>'RUF WORK FIXED ASSETS'!F89</f>
        <v>9217</v>
      </c>
      <c r="G80" s="14">
        <f>'RUF WORK FIXED ASSETS'!G89</f>
        <v>0</v>
      </c>
      <c r="H80" s="14">
        <f>'RUF WORK FIXED ASSETS'!H89</f>
        <v>309286.1</v>
      </c>
      <c r="I80" s="14">
        <f>'RUF WORK FIXED ASSETS'!I89</f>
        <v>76169.09999999999</v>
      </c>
      <c r="J80" s="14">
        <f>'RUF WORK FIXED ASSETS'!J89</f>
        <v>83281.52</v>
      </c>
      <c r="K80" s="14">
        <f>'RUF WORK FIXED ASSETS'!K89</f>
        <v>233117</v>
      </c>
    </row>
    <row r="81" spans="1:11" ht="12.75">
      <c r="A81" s="55">
        <f t="shared" si="15"/>
        <v>16</v>
      </c>
      <c r="B81" s="5" t="s">
        <v>565</v>
      </c>
      <c r="C81" s="56">
        <v>0.25</v>
      </c>
      <c r="D81" s="14">
        <f>'RUF WORK FIXED ASSETS'!D87</f>
        <v>981.55</v>
      </c>
      <c r="E81" s="14">
        <f>'RUF WORK FIXED ASSETS'!E87</f>
        <v>25300</v>
      </c>
      <c r="F81" s="14">
        <f>'RUF WORK FIXED ASSETS'!F87</f>
        <v>0</v>
      </c>
      <c r="G81" s="14">
        <f>'RUF WORK FIXED ASSETS'!G87</f>
        <v>0</v>
      </c>
      <c r="H81" s="14">
        <f>'RUF WORK FIXED ASSETS'!H87</f>
        <v>26281.55</v>
      </c>
      <c r="I81" s="14">
        <f>'RUF WORK FIXED ASSETS'!I87</f>
        <v>6570.5475</v>
      </c>
      <c r="J81" s="14">
        <f>'RUF WORK FIXED ASSETS'!J87</f>
        <v>327.18</v>
      </c>
      <c r="K81" s="14">
        <f>'RUF WORK FIXED ASSETS'!K87</f>
        <v>19711.0025</v>
      </c>
    </row>
    <row r="82" spans="1:11" ht="12.75">
      <c r="A82" s="55">
        <f t="shared" si="15"/>
        <v>16</v>
      </c>
      <c r="B82" s="5" t="s">
        <v>569</v>
      </c>
      <c r="C82" s="56">
        <v>0.25</v>
      </c>
      <c r="D82" s="14">
        <f>'RUF WORK FIXED ASSETS'!D91</f>
        <v>0</v>
      </c>
      <c r="E82" s="14">
        <f>'RUF WORK FIXED ASSETS'!E91</f>
        <v>0</v>
      </c>
      <c r="F82" s="14">
        <f>'RUF WORK FIXED ASSETS'!F91</f>
        <v>8813</v>
      </c>
      <c r="G82" s="14">
        <f>'RUF WORK FIXED ASSETS'!G91</f>
        <v>0</v>
      </c>
      <c r="H82" s="14">
        <f>'RUF WORK FIXED ASSETS'!H91</f>
        <v>8813</v>
      </c>
      <c r="I82" s="14">
        <f>'RUF WORK FIXED ASSETS'!I91</f>
        <v>1101.995</v>
      </c>
      <c r="J82" s="14">
        <f>'RUF WORK FIXED ASSETS'!J91</f>
        <v>0</v>
      </c>
      <c r="K82" s="14">
        <f>'RUF WORK FIXED ASSETS'!K91</f>
        <v>7710.995</v>
      </c>
    </row>
    <row r="83" spans="1:11" ht="12.75">
      <c r="A83" s="55">
        <f t="shared" si="15"/>
        <v>16</v>
      </c>
      <c r="B83" s="5" t="s">
        <v>566</v>
      </c>
      <c r="C83" s="56">
        <v>0.25</v>
      </c>
      <c r="D83" s="14">
        <f>'RUF WORK FIXED ASSETS'!D88</f>
        <v>105524.47</v>
      </c>
      <c r="E83" s="14">
        <f>'RUF WORK FIXED ASSETS'!E88</f>
        <v>0</v>
      </c>
      <c r="F83" s="14">
        <f>'RUF WORK FIXED ASSETS'!F88</f>
        <v>37223</v>
      </c>
      <c r="G83" s="14">
        <f>'RUF WORK FIXED ASSETS'!G88</f>
        <v>0</v>
      </c>
      <c r="H83" s="14">
        <f>'RUF WORK FIXED ASSETS'!H88</f>
        <v>142747.47</v>
      </c>
      <c r="I83" s="14">
        <f>'RUF WORK FIXED ASSETS'!I88</f>
        <v>31034.4725</v>
      </c>
      <c r="J83" s="14">
        <f>'RUF WORK FIXED ASSETS'!J88</f>
        <v>33878.99</v>
      </c>
      <c r="K83" s="14">
        <f>'RUF WORK FIXED ASSETS'!K88</f>
        <v>111712.9975</v>
      </c>
    </row>
    <row r="84" spans="1:11" ht="12.75">
      <c r="A84" s="55">
        <f t="shared" si="15"/>
        <v>16</v>
      </c>
      <c r="B84" s="5" t="s">
        <v>570</v>
      </c>
      <c r="C84" s="56">
        <v>0.25</v>
      </c>
      <c r="D84" s="14">
        <f>'RUF WORK FIXED ASSETS'!D92</f>
        <v>0</v>
      </c>
      <c r="E84" s="14">
        <f>'RUF WORK FIXED ASSETS'!E92</f>
        <v>0</v>
      </c>
      <c r="F84" s="14">
        <f>'RUF WORK FIXED ASSETS'!F92</f>
        <v>18253</v>
      </c>
      <c r="G84" s="14">
        <f>'RUF WORK FIXED ASSETS'!G92</f>
        <v>0</v>
      </c>
      <c r="H84" s="14">
        <f>'RUF WORK FIXED ASSETS'!H92</f>
        <v>18253</v>
      </c>
      <c r="I84" s="14">
        <f>'RUF WORK FIXED ASSETS'!I92</f>
        <v>2281.995</v>
      </c>
      <c r="J84" s="14">
        <f>'RUF WORK FIXED ASSETS'!J92</f>
        <v>0</v>
      </c>
      <c r="K84" s="14">
        <f>'RUF WORK FIXED ASSETS'!K92</f>
        <v>15970.995</v>
      </c>
    </row>
    <row r="85" spans="1:11" ht="12.75">
      <c r="A85" s="55">
        <f t="shared" si="15"/>
        <v>16</v>
      </c>
      <c r="B85" s="5" t="s">
        <v>510</v>
      </c>
      <c r="C85" s="56">
        <v>0.25</v>
      </c>
      <c r="D85" s="14">
        <f>'RUF WORK FIXED ASSETS'!D22</f>
        <v>16175.06</v>
      </c>
      <c r="E85" s="14">
        <f>'RUF WORK FIXED ASSETS'!E22</f>
        <v>7460</v>
      </c>
      <c r="F85" s="14">
        <f>'RUF WORK FIXED ASSETS'!F22</f>
        <v>0</v>
      </c>
      <c r="G85" s="14">
        <f>'RUF WORK FIXED ASSETS'!G22</f>
        <v>0</v>
      </c>
      <c r="H85" s="14">
        <f>'RUF WORK FIXED ASSETS'!H22</f>
        <v>23635.059999999998</v>
      </c>
      <c r="I85" s="14">
        <f>'RUF WORK FIXED ASSETS'!I22</f>
        <v>5909.054999999999</v>
      </c>
      <c r="J85" s="14">
        <f>'RUF WORK FIXED ASSETS'!J22</f>
        <v>5391.69</v>
      </c>
      <c r="K85" s="14">
        <f>'RUF WORK FIXED ASSETS'!K22</f>
        <v>17725.995</v>
      </c>
    </row>
    <row r="86" spans="1:11" ht="12.75">
      <c r="A86" s="55">
        <f t="shared" si="15"/>
        <v>16</v>
      </c>
      <c r="B86" s="5" t="s">
        <v>568</v>
      </c>
      <c r="C86" s="56">
        <v>0.25</v>
      </c>
      <c r="D86" s="14">
        <f>'RUF WORK FIXED ASSETS'!D90</f>
        <v>768328</v>
      </c>
      <c r="E86" s="14">
        <f>'RUF WORK FIXED ASSETS'!E90</f>
        <v>27309</v>
      </c>
      <c r="F86" s="14">
        <f>'RUF WORK FIXED ASSETS'!F90</f>
        <v>227557</v>
      </c>
      <c r="G86" s="14">
        <f>'RUF WORK FIXED ASSETS'!G90</f>
        <v>12750</v>
      </c>
      <c r="H86" s="14">
        <f>'RUF WORK FIXED ASSETS'!H90</f>
        <v>1010444</v>
      </c>
      <c r="I86" s="14">
        <f>'RUF WORK FIXED ASSETS'!I90</f>
        <v>225759.995</v>
      </c>
      <c r="J86" s="14">
        <f>'RUF WORK FIXED ASSETS'!J90</f>
        <v>226316.84</v>
      </c>
      <c r="K86" s="14">
        <f>'RUF WORK FIXED ASSETS'!K90</f>
        <v>784683.995</v>
      </c>
    </row>
    <row r="87" spans="3:11" ht="13.5" thickBot="1">
      <c r="C87" s="56"/>
      <c r="D87" s="59">
        <f>SUM(D78:D86)</f>
        <v>1261052.45</v>
      </c>
      <c r="E87" s="59">
        <f aca="true" t="shared" si="16" ref="E87:J87">SUM(E78:E86)</f>
        <v>60069</v>
      </c>
      <c r="F87" s="59">
        <f t="shared" si="16"/>
        <v>2825794</v>
      </c>
      <c r="G87" s="59">
        <f t="shared" si="16"/>
        <v>12750</v>
      </c>
      <c r="H87" s="59">
        <f t="shared" si="16"/>
        <v>4134165.45</v>
      </c>
      <c r="I87" s="59">
        <f t="shared" si="16"/>
        <v>681911.4224999999</v>
      </c>
      <c r="J87" s="59">
        <f t="shared" si="16"/>
        <v>372520.98</v>
      </c>
      <c r="K87" s="59">
        <f>SUM(K78:K86)+0.018</f>
        <v>3452253.9955000007</v>
      </c>
    </row>
    <row r="88" spans="3:11" ht="13.5" thickTop="1">
      <c r="C88" s="56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55">
        <f>A79+1</f>
        <v>17</v>
      </c>
      <c r="B89" s="5" t="s">
        <v>544</v>
      </c>
      <c r="C89" s="56">
        <v>0.25</v>
      </c>
      <c r="D89" s="14">
        <f>'RUF WORK FIXED ASSETS'!D61</f>
        <v>0</v>
      </c>
      <c r="E89" s="14">
        <f>'RUF WORK FIXED ASSETS'!E61</f>
        <v>18000</v>
      </c>
      <c r="F89" s="14">
        <f>'RUF WORK FIXED ASSETS'!F61</f>
        <v>0</v>
      </c>
      <c r="G89" s="14">
        <f>'RUF WORK FIXED ASSETS'!G61</f>
        <v>0</v>
      </c>
      <c r="H89" s="14">
        <f>'RUF WORK FIXED ASSETS'!H61</f>
        <v>18000</v>
      </c>
      <c r="I89" s="14">
        <f>'RUF WORK FIXED ASSETS'!I61</f>
        <v>4500</v>
      </c>
      <c r="J89" s="14">
        <f>'RUF WORK FIXED ASSETS'!J61</f>
        <v>0</v>
      </c>
      <c r="K89" s="14">
        <f>'RUF WORK FIXED ASSETS'!K61</f>
        <v>13500</v>
      </c>
    </row>
    <row r="90" spans="1:11" ht="12.75">
      <c r="A90" s="55">
        <f>A89</f>
        <v>17</v>
      </c>
      <c r="B90" s="5" t="s">
        <v>511</v>
      </c>
      <c r="C90" s="56">
        <v>0.25</v>
      </c>
      <c r="D90" s="14">
        <f>'RUF WORK FIXED ASSETS'!D23</f>
        <v>5690.56</v>
      </c>
      <c r="E90" s="14">
        <f>'RUF WORK FIXED ASSETS'!E23</f>
        <v>0</v>
      </c>
      <c r="F90" s="14">
        <f>'RUF WORK FIXED ASSETS'!F23</f>
        <v>0</v>
      </c>
      <c r="G90" s="14">
        <f>'RUF WORK FIXED ASSETS'!G23</f>
        <v>0</v>
      </c>
      <c r="H90" s="14">
        <f>'RUF WORK FIXED ASSETS'!H23</f>
        <v>5690.56</v>
      </c>
      <c r="I90" s="14">
        <f>'RUF WORK FIXED ASSETS'!I23</f>
        <v>1422.5600000000002</v>
      </c>
      <c r="J90" s="14">
        <f>'RUF WORK FIXED ASSETS'!J23</f>
        <v>1896.86</v>
      </c>
      <c r="K90" s="14">
        <f>'RUF WORK FIXED ASSETS'!K23</f>
        <v>4268</v>
      </c>
    </row>
    <row r="91" spans="3:11" ht="13.5" thickBot="1">
      <c r="C91" s="56"/>
      <c r="D91" s="59">
        <f>SUM(D89:D90)</f>
        <v>5690.56</v>
      </c>
      <c r="E91" s="59">
        <f aca="true" t="shared" si="17" ref="E91:K91">SUM(E89:E90)</f>
        <v>18000</v>
      </c>
      <c r="F91" s="59">
        <f t="shared" si="17"/>
        <v>0</v>
      </c>
      <c r="G91" s="59">
        <f t="shared" si="17"/>
        <v>0</v>
      </c>
      <c r="H91" s="59">
        <f t="shared" si="17"/>
        <v>23690.56</v>
      </c>
      <c r="I91" s="59">
        <f t="shared" si="17"/>
        <v>5922.56</v>
      </c>
      <c r="J91" s="59">
        <f t="shared" si="17"/>
        <v>1896.86</v>
      </c>
      <c r="K91" s="59">
        <f t="shared" si="17"/>
        <v>17768</v>
      </c>
    </row>
    <row r="92" spans="3:11" ht="13.5" thickTop="1">
      <c r="C92" s="56"/>
      <c r="D92" s="14"/>
      <c r="E92" s="14"/>
      <c r="F92" s="14"/>
      <c r="G92" s="14"/>
      <c r="H92" s="14"/>
      <c r="I92" s="14"/>
      <c r="J92" s="14"/>
      <c r="K92" s="14"/>
    </row>
    <row r="93" spans="1:11" ht="12.75">
      <c r="A93" s="55">
        <f>A90+1</f>
        <v>18</v>
      </c>
      <c r="B93" s="5" t="s">
        <v>546</v>
      </c>
      <c r="C93" s="56">
        <v>0.25</v>
      </c>
      <c r="D93" s="14">
        <f>'RUF WORK FIXED ASSETS'!D63</f>
        <v>287572.88</v>
      </c>
      <c r="E93" s="14">
        <f>'RUF WORK FIXED ASSETS'!E63</f>
        <v>35689</v>
      </c>
      <c r="F93" s="14">
        <f>'RUF WORK FIXED ASSETS'!F63</f>
        <v>93781</v>
      </c>
      <c r="G93" s="14">
        <f>'RUF WORK FIXED ASSETS'!G63</f>
        <v>0</v>
      </c>
      <c r="H93" s="14">
        <f>'RUF WORK FIXED ASSETS'!H63</f>
        <v>417042.88</v>
      </c>
      <c r="I93" s="14">
        <f>'RUF WORK FIXED ASSETS'!I63</f>
        <v>92537.875</v>
      </c>
      <c r="J93" s="14">
        <f>'RUF WORK FIXED ASSETS'!J63</f>
        <v>87437.13</v>
      </c>
      <c r="K93" s="14">
        <f>'RUF WORK FIXED ASSETS'!K63</f>
        <v>324504.995</v>
      </c>
    </row>
    <row r="94" spans="1:11" ht="12.75">
      <c r="A94" s="55">
        <f>A93</f>
        <v>18</v>
      </c>
      <c r="B94" s="5" t="s">
        <v>513</v>
      </c>
      <c r="C94" s="56">
        <v>0.25</v>
      </c>
      <c r="D94" s="14">
        <f>'RUF WORK FIXED ASSETS'!D25</f>
        <v>125205.28</v>
      </c>
      <c r="E94" s="14">
        <f>'RUF WORK FIXED ASSETS'!E25</f>
        <v>8875.5</v>
      </c>
      <c r="F94" s="14">
        <f>'RUF WORK FIXED ASSETS'!F25</f>
        <v>17091</v>
      </c>
      <c r="G94" s="14">
        <f>'RUF WORK FIXED ASSETS'!G25</f>
        <v>0</v>
      </c>
      <c r="H94" s="14">
        <f>'RUF WORK FIXED ASSETS'!H25</f>
        <v>151171.78</v>
      </c>
      <c r="I94" s="14">
        <f>'RUF WORK FIXED ASSETS'!I25</f>
        <v>35656.78</v>
      </c>
      <c r="J94" s="14">
        <f>'RUF WORK FIXED ASSETS'!J25</f>
        <v>39361.76</v>
      </c>
      <c r="K94" s="14">
        <f>'RUF WORK FIXED ASSETS'!K25</f>
        <v>115515</v>
      </c>
    </row>
    <row r="95" spans="1:11" ht="12.75">
      <c r="A95" s="55">
        <f>A94</f>
        <v>18</v>
      </c>
      <c r="B95" s="5" t="s">
        <v>571</v>
      </c>
      <c r="C95" s="56">
        <v>0.25</v>
      </c>
      <c r="D95" s="14">
        <f>'RUF WORK FIXED ASSETS'!D93</f>
        <v>1250310.71</v>
      </c>
      <c r="E95" s="14">
        <f>'RUF WORK FIXED ASSETS'!E93</f>
        <v>128265</v>
      </c>
      <c r="F95" s="14">
        <f>'RUF WORK FIXED ASSETS'!F93</f>
        <v>431095</v>
      </c>
      <c r="G95" s="14">
        <f>'RUF WORK FIXED ASSETS'!G93</f>
        <v>0</v>
      </c>
      <c r="H95" s="14">
        <f>'RUF WORK FIXED ASSETS'!H93</f>
        <v>1809670.71</v>
      </c>
      <c r="I95" s="14">
        <f>'RUF WORK FIXED ASSETS'!I93</f>
        <v>398530.7125</v>
      </c>
      <c r="J95" s="14">
        <f>'RUF WORK FIXED ASSETS'!J93</f>
        <v>347262.74</v>
      </c>
      <c r="K95" s="14">
        <f>'RUF WORK FIXED ASSETS'!K93</f>
        <v>1411139.9975</v>
      </c>
    </row>
    <row r="96" spans="3:11" ht="13.5" thickBot="1">
      <c r="C96" s="56"/>
      <c r="D96" s="59">
        <f aca="true" t="shared" si="18" ref="D96:J96">SUM(D93:D95)</f>
        <v>1663088.87</v>
      </c>
      <c r="E96" s="59">
        <f t="shared" si="18"/>
        <v>172829.5</v>
      </c>
      <c r="F96" s="59">
        <f t="shared" si="18"/>
        <v>541967</v>
      </c>
      <c r="G96" s="59">
        <f t="shared" si="18"/>
        <v>0</v>
      </c>
      <c r="H96" s="59">
        <f t="shared" si="18"/>
        <v>2377885.37</v>
      </c>
      <c r="I96" s="59">
        <f t="shared" si="18"/>
        <v>526725.3675</v>
      </c>
      <c r="J96" s="59">
        <f t="shared" si="18"/>
        <v>474061.63</v>
      </c>
      <c r="K96" s="59">
        <f>SUM(K93:K95)+0.005</f>
        <v>1851159.9975</v>
      </c>
    </row>
    <row r="97" spans="3:11" ht="13.5" thickTop="1">
      <c r="C97" s="56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55">
        <f>A95+1</f>
        <v>19</v>
      </c>
      <c r="B98" s="5" t="s">
        <v>572</v>
      </c>
      <c r="C98" s="56">
        <v>0.25</v>
      </c>
      <c r="D98" s="14">
        <f>'RUF WORK FIXED ASSETS'!D94</f>
        <v>2788.17</v>
      </c>
      <c r="E98" s="14">
        <f>'RUF WORK FIXED ASSETS'!E94</f>
        <v>545</v>
      </c>
      <c r="F98" s="14">
        <f>'RUF WORK FIXED ASSETS'!F94</f>
        <v>0</v>
      </c>
      <c r="G98" s="14">
        <f>'RUF WORK FIXED ASSETS'!G94</f>
        <v>0</v>
      </c>
      <c r="H98" s="14">
        <f>'RUF WORK FIXED ASSETS'!H94</f>
        <v>3333.17</v>
      </c>
      <c r="I98" s="14">
        <f>'RUF WORK FIXED ASSETS'!I94</f>
        <v>833.1725</v>
      </c>
      <c r="J98" s="14">
        <f>'RUF WORK FIXED ASSETS'!J94</f>
        <v>929.39</v>
      </c>
      <c r="K98" s="14">
        <f>'RUF WORK FIXED ASSETS'!K94</f>
        <v>2499.9975</v>
      </c>
    </row>
    <row r="99" spans="1:11" ht="12.75">
      <c r="A99" s="55">
        <f>A98</f>
        <v>19</v>
      </c>
      <c r="B99" s="5" t="s">
        <v>514</v>
      </c>
      <c r="C99" s="56">
        <v>0.25</v>
      </c>
      <c r="D99" s="14">
        <f>'RUF WORK FIXED ASSETS'!D26</f>
        <v>13024.58</v>
      </c>
      <c r="E99" s="14">
        <f>'RUF WORK FIXED ASSETS'!E26</f>
        <v>3250</v>
      </c>
      <c r="F99" s="14">
        <f>'RUF WORK FIXED ASSETS'!F26</f>
        <v>1800</v>
      </c>
      <c r="G99" s="14">
        <f>'RUF WORK FIXED ASSETS'!G26</f>
        <v>0</v>
      </c>
      <c r="H99" s="14">
        <f>'RUF WORK FIXED ASSETS'!H26</f>
        <v>18074.58</v>
      </c>
      <c r="I99" s="14">
        <f>'RUF WORK FIXED ASSETS'!I26</f>
        <v>4293.575000000001</v>
      </c>
      <c r="J99" s="14">
        <f>'RUF WORK FIXED ASSETS'!J26</f>
        <v>3258.2</v>
      </c>
      <c r="K99" s="14">
        <f>'RUF WORK FIXED ASSETS'!K26</f>
        <v>13780.995</v>
      </c>
    </row>
    <row r="100" spans="3:11" ht="13.5" thickBot="1">
      <c r="C100" s="56"/>
      <c r="D100" s="59">
        <f>SUM(D98:D99)</f>
        <v>15812.75</v>
      </c>
      <c r="E100" s="59">
        <f aca="true" t="shared" si="19" ref="E100:J100">SUM(E98:E99)</f>
        <v>3795</v>
      </c>
      <c r="F100" s="59">
        <f t="shared" si="19"/>
        <v>1800</v>
      </c>
      <c r="G100" s="59">
        <f t="shared" si="19"/>
        <v>0</v>
      </c>
      <c r="H100" s="59">
        <f t="shared" si="19"/>
        <v>21407.75</v>
      </c>
      <c r="I100" s="59">
        <f t="shared" si="19"/>
        <v>5126.7475</v>
      </c>
      <c r="J100" s="59">
        <f t="shared" si="19"/>
        <v>4187.59</v>
      </c>
      <c r="K100" s="59">
        <f>SUM(K98:K99)+0.008</f>
        <v>16281.0005</v>
      </c>
    </row>
    <row r="101" spans="3:11" ht="13.5" thickTop="1">
      <c r="C101" s="56"/>
      <c r="D101" s="14"/>
      <c r="E101" s="14"/>
      <c r="F101" s="14"/>
      <c r="G101" s="14"/>
      <c r="H101" s="14"/>
      <c r="I101" s="14"/>
      <c r="J101" s="14"/>
      <c r="K101" s="14"/>
    </row>
    <row r="102" spans="1:11" ht="12.75">
      <c r="A102" s="55">
        <f>A99+1</f>
        <v>20</v>
      </c>
      <c r="B102" s="5" t="s">
        <v>612</v>
      </c>
      <c r="C102" s="56">
        <v>0.25</v>
      </c>
      <c r="D102" s="14">
        <f>'RUF WORK FIXED ASSETS'!D144</f>
        <v>0</v>
      </c>
      <c r="E102" s="14">
        <f>'RUF WORK FIXED ASSETS'!E144</f>
        <v>2800</v>
      </c>
      <c r="F102" s="14">
        <f>'RUF WORK FIXED ASSETS'!F144</f>
        <v>0</v>
      </c>
      <c r="G102" s="14">
        <f>'RUF WORK FIXED ASSETS'!G144</f>
        <v>0</v>
      </c>
      <c r="H102" s="14">
        <f>'RUF WORK FIXED ASSETS'!H144</f>
        <v>2800</v>
      </c>
      <c r="I102" s="14">
        <f>'RUF WORK FIXED ASSETS'!I144</f>
        <v>700</v>
      </c>
      <c r="J102" s="14">
        <f>'RUF WORK FIXED ASSETS'!J144</f>
        <v>0</v>
      </c>
      <c r="K102" s="14">
        <f>'RUF WORK FIXED ASSETS'!K144</f>
        <v>2100</v>
      </c>
    </row>
    <row r="103" spans="1:11" ht="12.75">
      <c r="A103" s="55">
        <f>A102</f>
        <v>20</v>
      </c>
      <c r="B103" s="5" t="s">
        <v>547</v>
      </c>
      <c r="C103" s="56">
        <v>0.25</v>
      </c>
      <c r="D103" s="14">
        <f>'RUF WORK FIXED ASSETS'!D64</f>
        <v>132080.09</v>
      </c>
      <c r="E103" s="14">
        <f>'RUF WORK FIXED ASSETS'!E64</f>
        <v>22725</v>
      </c>
      <c r="F103" s="14">
        <f>'RUF WORK FIXED ASSETS'!F64</f>
        <v>5916</v>
      </c>
      <c r="G103" s="14">
        <f>'RUF WORK FIXED ASSETS'!G64</f>
        <v>0</v>
      </c>
      <c r="H103" s="14">
        <f>'RUF WORK FIXED ASSETS'!H64</f>
        <v>160721.09</v>
      </c>
      <c r="I103" s="14">
        <f>'RUF WORK FIXED ASSETS'!I64</f>
        <v>39441.0925</v>
      </c>
      <c r="J103" s="14">
        <f>'RUF WORK FIXED ASSETS'!J64</f>
        <v>44026.7</v>
      </c>
      <c r="K103" s="14">
        <f>'RUF WORK FIXED ASSETS'!K64</f>
        <v>121279.9975</v>
      </c>
    </row>
    <row r="104" spans="1:11" ht="12.75">
      <c r="A104" s="55">
        <f>A103</f>
        <v>20</v>
      </c>
      <c r="B104" s="5" t="s">
        <v>573</v>
      </c>
      <c r="C104" s="56">
        <v>0.25</v>
      </c>
      <c r="D104" s="14">
        <f>'RUF WORK FIXED ASSETS'!D95</f>
        <v>84738.3</v>
      </c>
      <c r="E104" s="14">
        <f>'RUF WORK FIXED ASSETS'!E95</f>
        <v>0</v>
      </c>
      <c r="F104" s="14">
        <f>'RUF WORK FIXED ASSETS'!F95</f>
        <v>75625</v>
      </c>
      <c r="G104" s="14">
        <f>'RUF WORK FIXED ASSETS'!G95</f>
        <v>0</v>
      </c>
      <c r="H104" s="14">
        <f>'RUF WORK FIXED ASSETS'!H95</f>
        <v>160363.3</v>
      </c>
      <c r="I104" s="14">
        <f>'RUF WORK FIXED ASSETS'!I95</f>
        <v>30637.3</v>
      </c>
      <c r="J104" s="14">
        <f>'RUF WORK FIXED ASSETS'!J95</f>
        <v>13368.58</v>
      </c>
      <c r="K104" s="14">
        <f>'RUF WORK FIXED ASSETS'!K95</f>
        <v>129725.99999999999</v>
      </c>
    </row>
    <row r="105" spans="1:11" ht="12.75">
      <c r="A105" s="55">
        <f>A104</f>
        <v>20</v>
      </c>
      <c r="B105" s="5" t="s">
        <v>515</v>
      </c>
      <c r="C105" s="56">
        <v>0.25</v>
      </c>
      <c r="D105" s="14">
        <f>'RUF WORK FIXED ASSETS'!D27</f>
        <v>114468.2</v>
      </c>
      <c r="E105" s="14">
        <f>'RUF WORK FIXED ASSETS'!E27</f>
        <v>5850</v>
      </c>
      <c r="F105" s="14">
        <f>'RUF WORK FIXED ASSETS'!F27</f>
        <v>22385</v>
      </c>
      <c r="G105" s="14">
        <f>'RUF WORK FIXED ASSETS'!G27</f>
        <v>0</v>
      </c>
      <c r="H105" s="14">
        <f>'RUF WORK FIXED ASSETS'!H27</f>
        <v>142703.2</v>
      </c>
      <c r="I105" s="14">
        <f>'RUF WORK FIXED ASSETS'!I27</f>
        <v>32877.195</v>
      </c>
      <c r="J105" s="14">
        <f>'RUF WORK FIXED ASSETS'!J27</f>
        <v>33127.58</v>
      </c>
      <c r="K105" s="14">
        <f>'RUF WORK FIXED ASSETS'!K27</f>
        <v>109825.99500000001</v>
      </c>
    </row>
    <row r="106" spans="3:11" ht="13.5" thickBot="1">
      <c r="C106" s="56"/>
      <c r="D106" s="59">
        <f>SUM(D102:D105)</f>
        <v>331286.59</v>
      </c>
      <c r="E106" s="59">
        <f aca="true" t="shared" si="20" ref="E106:J106">SUM(E102:E105)</f>
        <v>31375</v>
      </c>
      <c r="F106" s="59">
        <f t="shared" si="20"/>
        <v>103926</v>
      </c>
      <c r="G106" s="59">
        <f t="shared" si="20"/>
        <v>0</v>
      </c>
      <c r="H106" s="59">
        <f t="shared" si="20"/>
        <v>466587.59</v>
      </c>
      <c r="I106" s="59">
        <f t="shared" si="20"/>
        <v>103655.5875</v>
      </c>
      <c r="J106" s="59">
        <f t="shared" si="20"/>
        <v>90522.86</v>
      </c>
      <c r="K106" s="59">
        <f>SUM(K102:K105)+0.008</f>
        <v>362932.00049999997</v>
      </c>
    </row>
    <row r="107" spans="1:11" ht="13.5" thickTop="1">
      <c r="A107" s="55">
        <f>A105+1</f>
        <v>21</v>
      </c>
      <c r="B107" s="5" t="s">
        <v>548</v>
      </c>
      <c r="C107" s="56">
        <v>0.25</v>
      </c>
      <c r="D107" s="14">
        <f>'RUF WORK FIXED ASSETS'!D65</f>
        <v>339225.24</v>
      </c>
      <c r="E107" s="14">
        <f>'RUF WORK FIXED ASSETS'!E65</f>
        <v>7700</v>
      </c>
      <c r="F107" s="14">
        <f>'RUF WORK FIXED ASSETS'!F65</f>
        <v>272521</v>
      </c>
      <c r="G107" s="14">
        <f>'RUF WORK FIXED ASSETS'!G65</f>
        <v>0</v>
      </c>
      <c r="H107" s="14">
        <f>'RUF WORK FIXED ASSETS'!H65</f>
        <v>619446.24</v>
      </c>
      <c r="I107" s="14">
        <f>'RUF WORK FIXED ASSETS'!I65</f>
        <v>120796.235</v>
      </c>
      <c r="J107" s="14">
        <f>'RUF WORK FIXED ASSETS'!J65</f>
        <v>88658.57</v>
      </c>
      <c r="K107" s="14">
        <f>'RUF WORK FIXED ASSETS'!K65</f>
        <v>498649.995</v>
      </c>
    </row>
    <row r="108" spans="1:11" ht="12.75">
      <c r="A108" s="55">
        <f>A107</f>
        <v>21</v>
      </c>
      <c r="B108" s="4" t="s">
        <v>593</v>
      </c>
      <c r="C108" s="56">
        <v>0.25</v>
      </c>
      <c r="D108" s="14">
        <f>'RUF WORK FIXED ASSETS'!D122</f>
        <v>20.83</v>
      </c>
      <c r="E108" s="14">
        <f>'RUF WORK FIXED ASSETS'!E122</f>
        <v>630</v>
      </c>
      <c r="F108" s="14">
        <f>'RUF WORK FIXED ASSETS'!F122</f>
        <v>0</v>
      </c>
      <c r="G108" s="14">
        <f>'RUF WORK FIXED ASSETS'!G122</f>
        <v>0</v>
      </c>
      <c r="H108" s="14">
        <f>'RUF WORK FIXED ASSETS'!H122</f>
        <v>650.83</v>
      </c>
      <c r="I108" s="14">
        <f>'RUF WORK FIXED ASSETS'!I122</f>
        <v>162.82750000000001</v>
      </c>
      <c r="J108" s="14">
        <f>'RUF WORK FIXED ASSETS'!J122</f>
        <v>6.95</v>
      </c>
      <c r="K108" s="14">
        <f>'RUF WORK FIXED ASSETS'!K122</f>
        <v>488.00250000000005</v>
      </c>
    </row>
    <row r="109" spans="1:11" ht="12.75">
      <c r="A109" s="55">
        <f>A108</f>
        <v>21</v>
      </c>
      <c r="B109" s="5" t="s">
        <v>574</v>
      </c>
      <c r="C109" s="56">
        <v>0.25</v>
      </c>
      <c r="D109" s="14">
        <f>'RUF WORK FIXED ASSETS'!D96</f>
        <v>460050.12</v>
      </c>
      <c r="E109" s="14">
        <f>'RUF WORK FIXED ASSETS'!E96</f>
        <v>86305</v>
      </c>
      <c r="F109" s="14">
        <f>'RUF WORK FIXED ASSETS'!F96</f>
        <v>0</v>
      </c>
      <c r="G109" s="14">
        <f>'RUF WORK FIXED ASSETS'!G96</f>
        <v>0</v>
      </c>
      <c r="H109" s="14">
        <f>'RUF WORK FIXED ASSETS'!H96</f>
        <v>546355.12</v>
      </c>
      <c r="I109" s="14">
        <f>'RUF WORK FIXED ASSETS'!I96</f>
        <v>136589.12</v>
      </c>
      <c r="J109" s="14">
        <f>'RUF WORK FIXED ASSETS'!J96</f>
        <v>153350.04</v>
      </c>
      <c r="K109" s="14">
        <f>'RUF WORK FIXED ASSETS'!K96</f>
        <v>409766</v>
      </c>
    </row>
    <row r="110" spans="1:11" ht="12.75">
      <c r="A110" s="55">
        <f>A109</f>
        <v>21</v>
      </c>
      <c r="B110" s="5" t="s">
        <v>516</v>
      </c>
      <c r="C110" s="56">
        <v>0.25</v>
      </c>
      <c r="D110" s="14">
        <f>'RUF WORK FIXED ASSETS'!D28</f>
        <v>568319.92</v>
      </c>
      <c r="E110" s="14">
        <f>'RUF WORK FIXED ASSETS'!E28</f>
        <v>13357.31</v>
      </c>
      <c r="F110" s="14">
        <f>'RUF WORK FIXED ASSETS'!F28</f>
        <v>180645</v>
      </c>
      <c r="G110" s="14">
        <f>'RUF WORK FIXED ASSETS'!G28</f>
        <v>0</v>
      </c>
      <c r="H110" s="14">
        <f>'RUF WORK FIXED ASSETS'!H28</f>
        <v>762322.2300000001</v>
      </c>
      <c r="I110" s="14">
        <f>'RUF WORK FIXED ASSETS'!I28</f>
        <v>168000.23250000004</v>
      </c>
      <c r="J110" s="14">
        <f>'RUF WORK FIXED ASSETS'!J28</f>
        <v>131053.96</v>
      </c>
      <c r="K110" s="14">
        <f>'RUF WORK FIXED ASSETS'!K28</f>
        <v>594321.9975</v>
      </c>
    </row>
    <row r="111" spans="4:11" ht="13.5" thickBot="1">
      <c r="D111" s="59">
        <f>SUM(D107:D110)</f>
        <v>1367616.1099999999</v>
      </c>
      <c r="E111" s="59">
        <f aca="true" t="shared" si="21" ref="E111:K111">SUM(E107:E110)</f>
        <v>107992.31</v>
      </c>
      <c r="F111" s="59">
        <f t="shared" si="21"/>
        <v>453166</v>
      </c>
      <c r="G111" s="59">
        <f t="shared" si="21"/>
        <v>0</v>
      </c>
      <c r="H111" s="59">
        <f t="shared" si="21"/>
        <v>1928774.42</v>
      </c>
      <c r="I111" s="59">
        <f t="shared" si="21"/>
        <v>425548.41500000004</v>
      </c>
      <c r="J111" s="59">
        <f t="shared" si="21"/>
        <v>373069.52</v>
      </c>
      <c r="K111" s="59">
        <f t="shared" si="21"/>
        <v>1503225.995</v>
      </c>
    </row>
    <row r="112" ht="13.5" thickTop="1"/>
    <row r="113" spans="1:11" ht="12.75">
      <c r="A113" s="55">
        <f>A110+1</f>
        <v>22</v>
      </c>
      <c r="B113" s="4" t="s">
        <v>594</v>
      </c>
      <c r="C113" s="56">
        <v>0.25</v>
      </c>
      <c r="D113" s="14">
        <f>'RUF WORK FIXED ASSETS'!D123</f>
        <v>125560.31</v>
      </c>
      <c r="E113" s="14">
        <f>'RUF WORK FIXED ASSETS'!E123</f>
        <v>0</v>
      </c>
      <c r="F113" s="14">
        <f>'RUF WORK FIXED ASSETS'!F123</f>
        <v>0</v>
      </c>
      <c r="G113" s="14">
        <f>'RUF WORK FIXED ASSETS'!G123</f>
        <v>0</v>
      </c>
      <c r="H113" s="14">
        <f>'RUF WORK FIXED ASSETS'!H123</f>
        <v>125560.31</v>
      </c>
      <c r="I113" s="14">
        <f>'RUF WORK FIXED ASSETS'!I123</f>
        <v>31390.3075</v>
      </c>
      <c r="J113" s="14">
        <f>'RUF WORK FIXED ASSETS'!J123</f>
        <v>41853.44</v>
      </c>
      <c r="K113" s="14">
        <f>'RUF WORK FIXED ASSETS'!K123</f>
        <v>94170.0025</v>
      </c>
    </row>
    <row r="114" spans="4:11" ht="13.5" thickBot="1">
      <c r="D114" s="59">
        <f>SUM(D113:D113)</f>
        <v>125560.31</v>
      </c>
      <c r="E114" s="59">
        <f aca="true" t="shared" si="22" ref="E114:K114">SUM(E113:E113)</f>
        <v>0</v>
      </c>
      <c r="F114" s="59">
        <f t="shared" si="22"/>
        <v>0</v>
      </c>
      <c r="G114" s="59">
        <f t="shared" si="22"/>
        <v>0</v>
      </c>
      <c r="H114" s="59">
        <f t="shared" si="22"/>
        <v>125560.31</v>
      </c>
      <c r="I114" s="59">
        <f t="shared" si="22"/>
        <v>31390.3075</v>
      </c>
      <c r="J114" s="59">
        <f t="shared" si="22"/>
        <v>41853.44</v>
      </c>
      <c r="K114" s="59">
        <f t="shared" si="22"/>
        <v>94170.0025</v>
      </c>
    </row>
    <row r="115" spans="1:11" ht="13.5" thickTop="1">
      <c r="A115" s="55">
        <f>A113+1</f>
        <v>23</v>
      </c>
      <c r="B115" s="5" t="s">
        <v>614</v>
      </c>
      <c r="C115" s="56">
        <v>0.25</v>
      </c>
      <c r="D115" s="14">
        <f>'RUF WORK FIXED ASSETS'!D113</f>
        <v>72481.5</v>
      </c>
      <c r="E115" s="14">
        <f>'RUF WORK FIXED ASSETS'!E113</f>
        <v>0</v>
      </c>
      <c r="F115" s="14">
        <f>'RUF WORK FIXED ASSETS'!F113</f>
        <v>0</v>
      </c>
      <c r="G115" s="14">
        <f>'RUF WORK FIXED ASSETS'!G113</f>
        <v>0</v>
      </c>
      <c r="H115" s="14">
        <f>'RUF WORK FIXED ASSETS'!H113</f>
        <v>72481.5</v>
      </c>
      <c r="I115" s="14">
        <f>'RUF WORK FIXED ASSETS'!I113</f>
        <v>18120.495</v>
      </c>
      <c r="J115" s="14">
        <f>'RUF WORK FIXED ASSETS'!J113</f>
        <v>24160.5</v>
      </c>
      <c r="K115" s="14">
        <f>'RUF WORK FIXED ASSETS'!K113</f>
        <v>54360.995</v>
      </c>
    </row>
    <row r="116" spans="1:11" ht="12.75">
      <c r="A116" s="55">
        <f>A115</f>
        <v>23</v>
      </c>
      <c r="B116" s="5" t="s">
        <v>517</v>
      </c>
      <c r="C116" s="56">
        <v>0.25</v>
      </c>
      <c r="D116" s="14">
        <f>'RUF WORK FIXED ASSETS'!D29</f>
        <v>15049.27</v>
      </c>
      <c r="E116" s="14">
        <f>'RUF WORK FIXED ASSETS'!E29</f>
        <v>0</v>
      </c>
      <c r="F116" s="14">
        <f>'RUF WORK FIXED ASSETS'!F29</f>
        <v>0</v>
      </c>
      <c r="G116" s="14">
        <f>'RUF WORK FIXED ASSETS'!G29</f>
        <v>0</v>
      </c>
      <c r="H116" s="14">
        <f>'RUF WORK FIXED ASSETS'!H29</f>
        <v>15049.27</v>
      </c>
      <c r="I116" s="14">
        <f>'RUF WORK FIXED ASSETS'!I29</f>
        <v>3762.2675</v>
      </c>
      <c r="J116" s="14">
        <f>'RUF WORK FIXED ASSETS'!J29</f>
        <v>5016.42</v>
      </c>
      <c r="K116" s="14">
        <f>'RUF WORK FIXED ASSETS'!K29</f>
        <v>11287.0025</v>
      </c>
    </row>
    <row r="117" spans="1:11" ht="12.75">
      <c r="A117" s="55">
        <f>A116</f>
        <v>23</v>
      </c>
      <c r="B117" s="5" t="s">
        <v>613</v>
      </c>
      <c r="C117" s="56">
        <v>0.25</v>
      </c>
      <c r="D117" s="14">
        <f>'RUF WORK FIXED ASSETS'!D67</f>
        <v>33222.65</v>
      </c>
      <c r="E117" s="14">
        <f>'RUF WORK FIXED ASSETS'!E67</f>
        <v>0</v>
      </c>
      <c r="F117" s="14">
        <f>'RUF WORK FIXED ASSETS'!F67</f>
        <v>0</v>
      </c>
      <c r="G117" s="14">
        <f>'RUF WORK FIXED ASSETS'!G67</f>
        <v>0</v>
      </c>
      <c r="H117" s="14">
        <f>'RUF WORK FIXED ASSETS'!H67</f>
        <v>33222.65</v>
      </c>
      <c r="I117" s="14">
        <f>'RUF WORK FIXED ASSETS'!I67</f>
        <v>8305.6525</v>
      </c>
      <c r="J117" s="14">
        <f>'RUF WORK FIXED ASSETS'!J67</f>
        <v>11074.22</v>
      </c>
      <c r="K117" s="14">
        <f>'RUF WORK FIXED ASSETS'!K67</f>
        <v>24916.9975</v>
      </c>
    </row>
    <row r="118" spans="4:11" ht="13.5" thickBot="1">
      <c r="D118" s="59">
        <f aca="true" t="shared" si="23" ref="D118:K118">SUM(D115:D117)</f>
        <v>120753.42000000001</v>
      </c>
      <c r="E118" s="59">
        <f t="shared" si="23"/>
        <v>0</v>
      </c>
      <c r="F118" s="59">
        <f t="shared" si="23"/>
        <v>0</v>
      </c>
      <c r="G118" s="59">
        <f t="shared" si="23"/>
        <v>0</v>
      </c>
      <c r="H118" s="59">
        <f t="shared" si="23"/>
        <v>120753.42000000001</v>
      </c>
      <c r="I118" s="59">
        <f t="shared" si="23"/>
        <v>30188.414999999997</v>
      </c>
      <c r="J118" s="59">
        <f t="shared" si="23"/>
        <v>40251.14</v>
      </c>
      <c r="K118" s="59">
        <f t="shared" si="23"/>
        <v>90564.995</v>
      </c>
    </row>
    <row r="119" spans="1:11" ht="13.5" thickTop="1">
      <c r="A119" s="55">
        <f>A117+1</f>
        <v>24</v>
      </c>
      <c r="B119" s="5" t="s">
        <v>575</v>
      </c>
      <c r="C119" s="56">
        <v>0.25</v>
      </c>
      <c r="D119" s="14">
        <f>'RUF WORK FIXED ASSETS'!D97</f>
        <v>20062.03</v>
      </c>
      <c r="E119" s="14">
        <f>'RUF WORK FIXED ASSETS'!E97</f>
        <v>0</v>
      </c>
      <c r="F119" s="14">
        <f>'RUF WORK FIXED ASSETS'!F97</f>
        <v>19487</v>
      </c>
      <c r="G119" s="14">
        <f>'RUF WORK FIXED ASSETS'!G97</f>
        <v>0</v>
      </c>
      <c r="H119" s="14">
        <f>'RUF WORK FIXED ASSETS'!H97</f>
        <v>39549.03</v>
      </c>
      <c r="I119" s="14">
        <f>'RUF WORK FIXED ASSETS'!I97</f>
        <v>7451.032499999999</v>
      </c>
      <c r="J119" s="14">
        <f>'RUF WORK FIXED ASSETS'!J97</f>
        <v>6687.34</v>
      </c>
      <c r="K119" s="14">
        <f>'RUF WORK FIXED ASSETS'!K97</f>
        <v>32097.997499999998</v>
      </c>
    </row>
    <row r="120" spans="1:11" ht="12.75">
      <c r="A120" s="55">
        <f>A119</f>
        <v>24</v>
      </c>
      <c r="B120" s="5" t="s">
        <v>518</v>
      </c>
      <c r="C120" s="56">
        <v>0.25</v>
      </c>
      <c r="D120" s="14">
        <f>'RUF WORK FIXED ASSETS'!D30</f>
        <v>105744.37</v>
      </c>
      <c r="E120" s="14">
        <f>'RUF WORK FIXED ASSETS'!E30</f>
        <v>0</v>
      </c>
      <c r="F120" s="14">
        <f>'RUF WORK FIXED ASSETS'!F30</f>
        <v>0</v>
      </c>
      <c r="G120" s="14">
        <f>'RUF WORK FIXED ASSETS'!G30</f>
        <v>0</v>
      </c>
      <c r="H120" s="14">
        <f>'RUF WORK FIXED ASSETS'!H30</f>
        <v>105744.37</v>
      </c>
      <c r="I120" s="14">
        <f>'RUF WORK FIXED ASSETS'!I30</f>
        <v>26436.372499999998</v>
      </c>
      <c r="J120" s="14">
        <f>'RUF WORK FIXED ASSETS'!J30</f>
        <v>35248.13</v>
      </c>
      <c r="K120" s="14">
        <f>'RUF WORK FIXED ASSETS'!K30</f>
        <v>79307.9975</v>
      </c>
    </row>
    <row r="121" spans="4:11" ht="13.5" thickBot="1">
      <c r="D121" s="59">
        <f>SUM(D119:D120)</f>
        <v>125806.4</v>
      </c>
      <c r="E121" s="59">
        <f aca="true" t="shared" si="24" ref="E121:K121">SUM(E119:E120)</f>
        <v>0</v>
      </c>
      <c r="F121" s="59">
        <f t="shared" si="24"/>
        <v>19487</v>
      </c>
      <c r="G121" s="59">
        <f t="shared" si="24"/>
        <v>0</v>
      </c>
      <c r="H121" s="59">
        <f t="shared" si="24"/>
        <v>145293.4</v>
      </c>
      <c r="I121" s="59">
        <f t="shared" si="24"/>
        <v>33887.405</v>
      </c>
      <c r="J121" s="59">
        <f t="shared" si="24"/>
        <v>41935.47</v>
      </c>
      <c r="K121" s="59">
        <f t="shared" si="24"/>
        <v>111405.995</v>
      </c>
    </row>
    <row r="122" ht="13.5" thickTop="1"/>
    <row r="123" spans="1:11" ht="12.75">
      <c r="A123" s="55">
        <f>A120+1</f>
        <v>25</v>
      </c>
      <c r="B123" s="5" t="s">
        <v>607</v>
      </c>
      <c r="C123" s="56">
        <v>0.25</v>
      </c>
      <c r="D123" s="14">
        <f>'RUF WORK FIXED ASSETS'!D140</f>
        <v>117018.98</v>
      </c>
      <c r="E123" s="14">
        <f>'RUF WORK FIXED ASSETS'!E140</f>
        <v>81446</v>
      </c>
      <c r="F123" s="14">
        <f>'RUF WORK FIXED ASSETS'!F140</f>
        <v>0</v>
      </c>
      <c r="G123" s="14">
        <f>'RUF WORK FIXED ASSETS'!G140</f>
        <v>0</v>
      </c>
      <c r="H123" s="14">
        <f>'RUF WORK FIXED ASSETS'!H140</f>
        <v>198464.97999999998</v>
      </c>
      <c r="I123" s="14">
        <f>'RUF WORK FIXED ASSETS'!I140</f>
        <v>49615.975</v>
      </c>
      <c r="J123" s="14">
        <f>'RUF WORK FIXED ASSETS'!J140</f>
        <v>39006.3275</v>
      </c>
      <c r="K123" s="14">
        <f>'RUF WORK FIXED ASSETS'!K140</f>
        <v>148848.99499999997</v>
      </c>
    </row>
    <row r="124" spans="4:11" ht="13.5" thickBot="1">
      <c r="D124" s="59">
        <f>SUM(D123:D123)</f>
        <v>117018.98</v>
      </c>
      <c r="E124" s="59">
        <f aca="true" t="shared" si="25" ref="E124:K124">SUM(E123:E123)</f>
        <v>81446</v>
      </c>
      <c r="F124" s="59">
        <f t="shared" si="25"/>
        <v>0</v>
      </c>
      <c r="G124" s="59">
        <f t="shared" si="25"/>
        <v>0</v>
      </c>
      <c r="H124" s="59">
        <f t="shared" si="25"/>
        <v>198464.97999999998</v>
      </c>
      <c r="I124" s="59">
        <f t="shared" si="25"/>
        <v>49615.975</v>
      </c>
      <c r="J124" s="59">
        <f t="shared" si="25"/>
        <v>39006.3275</v>
      </c>
      <c r="K124" s="59">
        <f t="shared" si="25"/>
        <v>148848.99499999997</v>
      </c>
    </row>
    <row r="125" ht="13.5" thickTop="1"/>
    <row r="126" spans="1:11" ht="12.75">
      <c r="A126" s="55">
        <f>A123+1</f>
        <v>26</v>
      </c>
      <c r="B126" s="5" t="s">
        <v>617</v>
      </c>
      <c r="C126" s="56">
        <v>0.25</v>
      </c>
      <c r="D126" s="14">
        <f>'RUF WORK FIXED ASSETS'!D141</f>
        <v>25375.08</v>
      </c>
      <c r="E126" s="14">
        <f>'RUF WORK FIXED ASSETS'!E141</f>
        <v>0</v>
      </c>
      <c r="F126" s="14">
        <f>'RUF WORK FIXED ASSETS'!F141</f>
        <v>0</v>
      </c>
      <c r="G126" s="14">
        <f>'RUF WORK FIXED ASSETS'!G141</f>
        <v>0</v>
      </c>
      <c r="H126" s="14">
        <f>'RUF WORK FIXED ASSETS'!H141</f>
        <v>25375.08</v>
      </c>
      <c r="I126" s="14">
        <f>'RUF WORK FIXED ASSETS'!I141</f>
        <v>6344.080000000001</v>
      </c>
      <c r="J126" s="14">
        <f>'RUF WORK FIXED ASSETS'!J141</f>
        <v>8458.36</v>
      </c>
      <c r="K126" s="14">
        <f>'RUF WORK FIXED ASSETS'!K141</f>
        <v>19031</v>
      </c>
    </row>
    <row r="127" spans="1:11" ht="12.75">
      <c r="A127" s="55">
        <f>A126</f>
        <v>26</v>
      </c>
      <c r="B127" s="4" t="s">
        <v>598</v>
      </c>
      <c r="C127" s="56">
        <v>0.25</v>
      </c>
      <c r="D127" s="14">
        <f>'RUF WORK FIXED ASSETS'!D127</f>
        <v>83.15</v>
      </c>
      <c r="E127" s="14">
        <f>'RUF WORK FIXED ASSETS'!E127</f>
        <v>0</v>
      </c>
      <c r="F127" s="14">
        <f>'RUF WORK FIXED ASSETS'!F127</f>
        <v>0</v>
      </c>
      <c r="G127" s="14">
        <f>'RUF WORK FIXED ASSETS'!G127</f>
        <v>83.15</v>
      </c>
      <c r="H127" s="14">
        <f>'RUF WORK FIXED ASSETS'!H127</f>
        <v>0</v>
      </c>
      <c r="I127" s="14">
        <f>'RUF WORK FIXED ASSETS'!I127</f>
        <v>0</v>
      </c>
      <c r="J127" s="14">
        <f>'RUF WORK FIXED ASSETS'!J127</f>
        <v>27.72</v>
      </c>
      <c r="K127" s="14">
        <f>'RUF WORK FIXED ASSETS'!K127</f>
        <v>0</v>
      </c>
    </row>
    <row r="128" spans="1:11" ht="12.75">
      <c r="A128" s="55">
        <f>A127</f>
        <v>26</v>
      </c>
      <c r="B128" s="5" t="s">
        <v>615</v>
      </c>
      <c r="C128" s="56">
        <v>0.25</v>
      </c>
      <c r="D128" s="14">
        <f>'RUF WORK FIXED ASSETS'!D31</f>
        <v>36007.93</v>
      </c>
      <c r="E128" s="14">
        <f>'RUF WORK FIXED ASSETS'!E31</f>
        <v>0</v>
      </c>
      <c r="F128" s="14">
        <f>'RUF WORK FIXED ASSETS'!F31</f>
        <v>0</v>
      </c>
      <c r="G128" s="14">
        <f>'RUF WORK FIXED ASSETS'!G31</f>
        <v>0</v>
      </c>
      <c r="H128" s="14">
        <f>'RUF WORK FIXED ASSETS'!H31</f>
        <v>36007.93</v>
      </c>
      <c r="I128" s="14">
        <f>'RUF WORK FIXED ASSETS'!I31</f>
        <v>9001.9325</v>
      </c>
      <c r="J128" s="14">
        <f>'RUF WORK FIXED ASSETS'!J31</f>
        <v>12002.64</v>
      </c>
      <c r="K128" s="14">
        <f>'RUF WORK FIXED ASSETS'!K31</f>
        <v>27005.997499999998</v>
      </c>
    </row>
    <row r="129" spans="1:11" ht="12.75">
      <c r="A129" s="55">
        <f>A128</f>
        <v>26</v>
      </c>
      <c r="B129" s="5" t="s">
        <v>616</v>
      </c>
      <c r="C129" s="56">
        <v>0.25</v>
      </c>
      <c r="D129" s="14">
        <f>'RUF WORK FIXED ASSETS'!D98</f>
        <v>111744.15</v>
      </c>
      <c r="E129" s="14">
        <f>'RUF WORK FIXED ASSETS'!E98</f>
        <v>110000</v>
      </c>
      <c r="F129" s="14">
        <f>'RUF WORK FIXED ASSETS'!F98</f>
        <v>28000</v>
      </c>
      <c r="G129" s="14">
        <f>'RUF WORK FIXED ASSETS'!G98</f>
        <v>0</v>
      </c>
      <c r="H129" s="14">
        <f>'RUF WORK FIXED ASSETS'!H98</f>
        <v>249744.15</v>
      </c>
      <c r="I129" s="14">
        <f>'RUF WORK FIXED ASSETS'!I98</f>
        <v>58936.1475</v>
      </c>
      <c r="J129" s="14">
        <f>'RUF WORK FIXED ASSETS'!J98</f>
        <v>37248.05</v>
      </c>
      <c r="K129" s="14">
        <f>'RUF WORK FIXED ASSETS'!K98</f>
        <v>190808.0025</v>
      </c>
    </row>
    <row r="130" spans="4:11" ht="13.5" thickBot="1">
      <c r="D130" s="59">
        <f>SUM(D126:D129)</f>
        <v>173210.31</v>
      </c>
      <c r="E130" s="59">
        <f aca="true" t="shared" si="26" ref="E130:K130">SUM(E126:E129)</f>
        <v>110000</v>
      </c>
      <c r="F130" s="59">
        <f t="shared" si="26"/>
        <v>28000</v>
      </c>
      <c r="G130" s="59">
        <f t="shared" si="26"/>
        <v>83.15</v>
      </c>
      <c r="H130" s="59">
        <f t="shared" si="26"/>
        <v>311127.16</v>
      </c>
      <c r="I130" s="59">
        <f t="shared" si="26"/>
        <v>74282.16</v>
      </c>
      <c r="J130" s="59">
        <f t="shared" si="26"/>
        <v>57736.770000000004</v>
      </c>
      <c r="K130" s="59">
        <f t="shared" si="26"/>
        <v>236845</v>
      </c>
    </row>
    <row r="131" spans="1:11" ht="13.5" thickTop="1">
      <c r="A131" s="55">
        <f>A129+1</f>
        <v>27</v>
      </c>
      <c r="B131" s="5" t="s">
        <v>611</v>
      </c>
      <c r="C131" s="56">
        <v>0.25</v>
      </c>
      <c r="D131" s="14">
        <f>'RUF WORK FIXED ASSETS'!D146</f>
        <v>0</v>
      </c>
      <c r="E131" s="14">
        <f>'RUF WORK FIXED ASSETS'!E146</f>
        <v>42000</v>
      </c>
      <c r="F131" s="14">
        <f>'RUF WORK FIXED ASSETS'!F146</f>
        <v>0</v>
      </c>
      <c r="G131" s="14">
        <f>'RUF WORK FIXED ASSETS'!G146</f>
        <v>0</v>
      </c>
      <c r="H131" s="14">
        <f>'RUF WORK FIXED ASSETS'!H146</f>
        <v>42000</v>
      </c>
      <c r="I131" s="14">
        <f>'RUF WORK FIXED ASSETS'!I146</f>
        <v>10500</v>
      </c>
      <c r="J131" s="14">
        <f>'RUF WORK FIXED ASSETS'!J146</f>
        <v>0</v>
      </c>
      <c r="K131" s="14">
        <f>'RUF WORK FIXED ASSETS'!K146</f>
        <v>31500</v>
      </c>
    </row>
    <row r="132" spans="1:11" ht="12.75">
      <c r="A132" s="55">
        <f>A131</f>
        <v>27</v>
      </c>
      <c r="B132" s="4" t="s">
        <v>599</v>
      </c>
      <c r="C132" s="56">
        <v>0.25</v>
      </c>
      <c r="D132" s="14">
        <f>'RUF WORK FIXED ASSETS'!D128</f>
        <v>53.83</v>
      </c>
      <c r="E132" s="14">
        <f>'RUF WORK FIXED ASSETS'!E128</f>
        <v>0</v>
      </c>
      <c r="F132" s="14">
        <f>'RUF WORK FIXED ASSETS'!F128</f>
        <v>0</v>
      </c>
      <c r="G132" s="14">
        <f>'RUF WORK FIXED ASSETS'!G128</f>
        <v>53.83</v>
      </c>
      <c r="H132" s="14">
        <f>'RUF WORK FIXED ASSETS'!H128</f>
        <v>0</v>
      </c>
      <c r="I132" s="14">
        <f>'RUF WORK FIXED ASSETS'!I128</f>
        <v>0</v>
      </c>
      <c r="J132" s="14">
        <f>'RUF WORK FIXED ASSETS'!J128</f>
        <v>17.95</v>
      </c>
      <c r="K132" s="14">
        <f>'RUF WORK FIXED ASSETS'!K128</f>
        <v>0</v>
      </c>
    </row>
    <row r="133" spans="1:11" ht="12.75">
      <c r="A133" s="55">
        <f>A132</f>
        <v>27</v>
      </c>
      <c r="B133" s="5" t="s">
        <v>576</v>
      </c>
      <c r="C133" s="56">
        <v>0.25</v>
      </c>
      <c r="D133" s="14">
        <f>'RUF WORK FIXED ASSETS'!D99</f>
        <v>3073.1</v>
      </c>
      <c r="E133" s="14">
        <f>'RUF WORK FIXED ASSETS'!E99</f>
        <v>25000</v>
      </c>
      <c r="F133" s="14">
        <f>'RUF WORK FIXED ASSETS'!F99</f>
        <v>0</v>
      </c>
      <c r="G133" s="14">
        <f>'RUF WORK FIXED ASSETS'!G99</f>
        <v>0</v>
      </c>
      <c r="H133" s="14">
        <f>'RUF WORK FIXED ASSETS'!H99</f>
        <v>28073.1</v>
      </c>
      <c r="I133" s="14">
        <f>'RUF WORK FIXED ASSETS'!I99</f>
        <v>7018.094999999999</v>
      </c>
      <c r="J133" s="14">
        <f>'RUF WORK FIXED ASSETS'!J99</f>
        <v>1024.36</v>
      </c>
      <c r="K133" s="14">
        <f>'RUF WORK FIXED ASSETS'!K99</f>
        <v>21054.995</v>
      </c>
    </row>
    <row r="134" spans="1:11" ht="12.75">
      <c r="A134" s="55">
        <f>A133</f>
        <v>27</v>
      </c>
      <c r="B134" s="5" t="s">
        <v>555</v>
      </c>
      <c r="C134" s="56">
        <v>0.25</v>
      </c>
      <c r="D134" s="14">
        <f>'RUF WORK FIXED ASSETS'!D73</f>
        <v>5787.07</v>
      </c>
      <c r="E134" s="14">
        <f>'RUF WORK FIXED ASSETS'!E73</f>
        <v>0</v>
      </c>
      <c r="F134" s="14">
        <f>'RUF WORK FIXED ASSETS'!F73</f>
        <v>71425</v>
      </c>
      <c r="G134" s="14">
        <f>'RUF WORK FIXED ASSETS'!G73</f>
        <v>0</v>
      </c>
      <c r="H134" s="14">
        <f>'RUF WORK FIXED ASSETS'!H73</f>
        <v>77212.07</v>
      </c>
      <c r="I134" s="14">
        <f>'RUF WORK FIXED ASSETS'!I73</f>
        <v>10375.0725</v>
      </c>
      <c r="J134" s="14">
        <f>'RUF WORK FIXED ASSETS'!J73</f>
        <v>1929.02</v>
      </c>
      <c r="K134" s="14">
        <f>'RUF WORK FIXED ASSETS'!K73</f>
        <v>66836.99750000001</v>
      </c>
    </row>
    <row r="135" spans="1:11" ht="12.75">
      <c r="A135" s="55">
        <f>A134</f>
        <v>27</v>
      </c>
      <c r="B135" s="5" t="s">
        <v>530</v>
      </c>
      <c r="C135" s="56">
        <v>0.25</v>
      </c>
      <c r="D135" s="14">
        <f>'RUF WORK FIXED ASSETS'!D43</f>
        <v>44288.67</v>
      </c>
      <c r="E135" s="14">
        <f>'RUF WORK FIXED ASSETS'!E43</f>
        <v>11390</v>
      </c>
      <c r="F135" s="14">
        <f>'RUF WORK FIXED ASSETS'!F43</f>
        <v>0</v>
      </c>
      <c r="G135" s="14">
        <f>'RUF WORK FIXED ASSETS'!G43</f>
        <v>0</v>
      </c>
      <c r="H135" s="14">
        <f>'RUF WORK FIXED ASSETS'!H43</f>
        <v>55678.67</v>
      </c>
      <c r="I135" s="14">
        <f>'RUF WORK FIXED ASSETS'!I43</f>
        <v>13919.6675</v>
      </c>
      <c r="J135" s="14">
        <f>'RUF WORK FIXED ASSETS'!J43</f>
        <v>14762.89</v>
      </c>
      <c r="K135" s="14">
        <f>'RUF WORK FIXED ASSETS'!K43</f>
        <v>41759.0025</v>
      </c>
    </row>
    <row r="136" spans="3:11" ht="13.5" thickBot="1">
      <c r="C136" s="56"/>
      <c r="D136" s="59">
        <f>SUM(D131:D135)</f>
        <v>53202.67</v>
      </c>
      <c r="E136" s="59">
        <f aca="true" t="shared" si="27" ref="E136:K136">SUM(E131:E135)</f>
        <v>78390</v>
      </c>
      <c r="F136" s="59">
        <f t="shared" si="27"/>
        <v>71425</v>
      </c>
      <c r="G136" s="59">
        <f t="shared" si="27"/>
        <v>53.83</v>
      </c>
      <c r="H136" s="59">
        <f t="shared" si="27"/>
        <v>202963.84000000003</v>
      </c>
      <c r="I136" s="59">
        <f t="shared" si="27"/>
        <v>41812.83500000001</v>
      </c>
      <c r="J136" s="59">
        <f t="shared" si="27"/>
        <v>17734.22</v>
      </c>
      <c r="K136" s="59">
        <f t="shared" si="27"/>
        <v>161150.995</v>
      </c>
    </row>
    <row r="137" ht="13.5" thickTop="1"/>
    <row r="138" spans="1:11" ht="12.75">
      <c r="A138" s="55">
        <f>A135+1</f>
        <v>28</v>
      </c>
      <c r="B138" s="5" t="s">
        <v>554</v>
      </c>
      <c r="C138" s="56">
        <v>0.25</v>
      </c>
      <c r="D138" s="14">
        <f>'RUF WORK FIXED ASSETS'!D72</f>
        <v>87165.67</v>
      </c>
      <c r="E138" s="14">
        <f>'RUF WORK FIXED ASSETS'!E72</f>
        <v>3500</v>
      </c>
      <c r="F138" s="14">
        <f>'RUF WORK FIXED ASSETS'!F72</f>
        <v>0</v>
      </c>
      <c r="G138" s="14">
        <f>'RUF WORK FIXED ASSETS'!G72</f>
        <v>0</v>
      </c>
      <c r="H138" s="14">
        <f>'RUF WORK FIXED ASSETS'!H72</f>
        <v>90665.67</v>
      </c>
      <c r="I138" s="14">
        <f>'RUF WORK FIXED ASSETS'!I72</f>
        <v>22666.6675</v>
      </c>
      <c r="J138" s="14">
        <f>'RUF WORK FIXED ASSETS'!J72</f>
        <v>29055.23</v>
      </c>
      <c r="K138" s="14">
        <f>'RUF WORK FIXED ASSETS'!K72</f>
        <v>67999.0025</v>
      </c>
    </row>
    <row r="139" spans="1:11" ht="12.75">
      <c r="A139" s="55">
        <f>A138</f>
        <v>28</v>
      </c>
      <c r="B139" s="4" t="s">
        <v>597</v>
      </c>
      <c r="C139" s="56">
        <v>0.25</v>
      </c>
      <c r="D139" s="14">
        <f>'RUF WORK FIXED ASSETS'!D126</f>
        <v>0</v>
      </c>
      <c r="E139" s="14">
        <f>'RUF WORK FIXED ASSETS'!E126</f>
        <v>976953</v>
      </c>
      <c r="F139" s="14">
        <f>'RUF WORK FIXED ASSETS'!F126</f>
        <v>53190</v>
      </c>
      <c r="G139" s="14">
        <f>'RUF WORK FIXED ASSETS'!G126</f>
        <v>12996</v>
      </c>
      <c r="H139" s="14">
        <f>'RUF WORK FIXED ASSETS'!H126</f>
        <v>1017147</v>
      </c>
      <c r="I139" s="14">
        <f>'RUF WORK FIXED ASSETS'!I126</f>
        <v>249263</v>
      </c>
      <c r="J139" s="14">
        <f>'RUF WORK FIXED ASSETS'!J126</f>
        <v>0</v>
      </c>
      <c r="K139" s="14">
        <f>'RUF WORK FIXED ASSETS'!K126</f>
        <v>767884</v>
      </c>
    </row>
    <row r="140" spans="1:11" ht="12.75">
      <c r="A140" s="55">
        <f>A139</f>
        <v>28</v>
      </c>
      <c r="B140" s="5" t="s">
        <v>618</v>
      </c>
      <c r="C140" s="56">
        <v>0.25</v>
      </c>
      <c r="D140" s="14">
        <f>'RUF WORK FIXED ASSETS'!D111</f>
        <v>58846.63</v>
      </c>
      <c r="E140" s="14">
        <f>'RUF WORK FIXED ASSETS'!E111</f>
        <v>44357</v>
      </c>
      <c r="F140" s="14">
        <f>'RUF WORK FIXED ASSETS'!F111</f>
        <v>0</v>
      </c>
      <c r="G140" s="14">
        <f>'RUF WORK FIXED ASSETS'!G111</f>
        <v>0</v>
      </c>
      <c r="H140" s="14">
        <f>'RUF WORK FIXED ASSETS'!H111</f>
        <v>103203.63</v>
      </c>
      <c r="I140" s="14">
        <f>'RUF WORK FIXED ASSETS'!I111</f>
        <v>25800.627500000002</v>
      </c>
      <c r="J140" s="14">
        <f>'RUF WORK FIXED ASSETS'!J111</f>
        <v>17698.87</v>
      </c>
      <c r="K140" s="14">
        <f>'RUF WORK FIXED ASSETS'!K111</f>
        <v>77403.0025</v>
      </c>
    </row>
    <row r="141" spans="1:11" ht="12.75">
      <c r="A141" s="55">
        <f>A140</f>
        <v>28</v>
      </c>
      <c r="B141" s="5" t="s">
        <v>529</v>
      </c>
      <c r="C141" s="56">
        <v>0.25</v>
      </c>
      <c r="D141" s="14">
        <f>'RUF WORK FIXED ASSETS'!D42</f>
        <v>53835.32</v>
      </c>
      <c r="E141" s="14">
        <f>'RUF WORK FIXED ASSETS'!E42</f>
        <v>28550</v>
      </c>
      <c r="F141" s="14">
        <f>'RUF WORK FIXED ASSETS'!F42</f>
        <v>0</v>
      </c>
      <c r="G141" s="14">
        <f>'RUF WORK FIXED ASSETS'!G42</f>
        <v>0</v>
      </c>
      <c r="H141" s="14">
        <f>'RUF WORK FIXED ASSETS'!H42</f>
        <v>82385.32</v>
      </c>
      <c r="I141" s="14">
        <f>'RUF WORK FIXED ASSETS'!I42</f>
        <v>20596.320000000003</v>
      </c>
      <c r="J141" s="14">
        <f>'RUF WORK FIXED ASSETS'!J42</f>
        <v>14078.44</v>
      </c>
      <c r="K141" s="14">
        <f>'RUF WORK FIXED ASSETS'!K42</f>
        <v>61789</v>
      </c>
    </row>
    <row r="142" spans="4:11" ht="13.5" thickBot="1">
      <c r="D142" s="59">
        <f>SUM(D138:D141)</f>
        <v>199847.62</v>
      </c>
      <c r="E142" s="59">
        <f aca="true" t="shared" si="28" ref="E142:J142">SUM(E138:E141)</f>
        <v>1053360</v>
      </c>
      <c r="F142" s="59">
        <f t="shared" si="28"/>
        <v>53190</v>
      </c>
      <c r="G142" s="59">
        <f t="shared" si="28"/>
        <v>12996</v>
      </c>
      <c r="H142" s="59">
        <f t="shared" si="28"/>
        <v>1293401.6199999999</v>
      </c>
      <c r="I142" s="59">
        <f t="shared" si="28"/>
        <v>318326.615</v>
      </c>
      <c r="J142" s="59">
        <f t="shared" si="28"/>
        <v>60832.54</v>
      </c>
      <c r="K142" s="59">
        <f>SUM(K138:K141)-0.009</f>
        <v>975074.9959999999</v>
      </c>
    </row>
    <row r="143" ht="13.5" thickTop="1"/>
    <row r="144" spans="1:11" ht="12.75">
      <c r="A144" s="55">
        <f>A141+1</f>
        <v>29</v>
      </c>
      <c r="B144" s="5" t="s">
        <v>588</v>
      </c>
      <c r="C144" s="56">
        <v>0.25</v>
      </c>
      <c r="D144" s="14">
        <f>'RUF WORK FIXED ASSETS'!D112</f>
        <v>0</v>
      </c>
      <c r="E144" s="14">
        <f>'RUF WORK FIXED ASSETS'!E112</f>
        <v>0</v>
      </c>
      <c r="F144" s="14">
        <f>'RUF WORK FIXED ASSETS'!F112</f>
        <v>48204</v>
      </c>
      <c r="G144" s="14">
        <f>'RUF WORK FIXED ASSETS'!G112</f>
        <v>0</v>
      </c>
      <c r="H144" s="14">
        <f>'RUF WORK FIXED ASSETS'!H112</f>
        <v>48204</v>
      </c>
      <c r="I144" s="14">
        <f>'RUF WORK FIXED ASSETS'!I112</f>
        <v>6026</v>
      </c>
      <c r="J144" s="14">
        <f>'RUF WORK FIXED ASSETS'!J112</f>
        <v>0</v>
      </c>
      <c r="K144" s="14">
        <f>'RUF WORK FIXED ASSETS'!K112</f>
        <v>42178</v>
      </c>
    </row>
    <row r="145" spans="1:11" ht="12.75">
      <c r="A145" s="55">
        <f>A144</f>
        <v>29</v>
      </c>
      <c r="B145" s="5" t="s">
        <v>556</v>
      </c>
      <c r="C145" s="56">
        <v>0.25</v>
      </c>
      <c r="D145" s="14">
        <f>'RUF WORK FIXED ASSETS'!D74</f>
        <v>0</v>
      </c>
      <c r="E145" s="14">
        <f>'RUF WORK FIXED ASSETS'!E74</f>
        <v>0</v>
      </c>
      <c r="F145" s="14">
        <f>'RUF WORK FIXED ASSETS'!F74</f>
        <v>35590</v>
      </c>
      <c r="G145" s="14">
        <f>'RUF WORK FIXED ASSETS'!G74</f>
        <v>0</v>
      </c>
      <c r="H145" s="14">
        <f>'RUF WORK FIXED ASSETS'!H74</f>
        <v>35590</v>
      </c>
      <c r="I145" s="14">
        <f>'RUF WORK FIXED ASSETS'!I74</f>
        <v>4449</v>
      </c>
      <c r="J145" s="14">
        <f>'RUF WORK FIXED ASSETS'!J74</f>
        <v>0</v>
      </c>
      <c r="K145" s="14">
        <f>'RUF WORK FIXED ASSETS'!K74</f>
        <v>31141</v>
      </c>
    </row>
    <row r="146" spans="1:11" ht="12.75">
      <c r="A146" s="55">
        <f>A145</f>
        <v>29</v>
      </c>
      <c r="B146" s="5" t="s">
        <v>531</v>
      </c>
      <c r="C146" s="56">
        <v>0.25</v>
      </c>
      <c r="D146" s="14">
        <f>'RUF WORK FIXED ASSETS'!D44</f>
        <v>15799.98</v>
      </c>
      <c r="E146" s="14">
        <f>'RUF WORK FIXED ASSETS'!E44</f>
        <v>0</v>
      </c>
      <c r="F146" s="14">
        <f>'RUF WORK FIXED ASSETS'!F44</f>
        <v>0</v>
      </c>
      <c r="G146" s="14">
        <f>'RUF WORK FIXED ASSETS'!G44</f>
        <v>12271.98</v>
      </c>
      <c r="H146" s="14">
        <f>'RUF WORK FIXED ASSETS'!H44</f>
        <v>3528</v>
      </c>
      <c r="I146" s="14">
        <f>'RUF WORK FIXED ASSETS'!I44</f>
        <v>3528.000739726027</v>
      </c>
      <c r="J146" s="14">
        <f>'RUF WORK FIXED ASSETS'!J44</f>
        <v>5266.66</v>
      </c>
      <c r="K146" s="14">
        <f>'RUF WORK FIXED ASSETS'!K44</f>
        <v>-0.0007397260269499384</v>
      </c>
    </row>
    <row r="147" spans="3:11" ht="13.5" thickBot="1">
      <c r="C147" s="56"/>
      <c r="D147" s="59">
        <f aca="true" t="shared" si="29" ref="D147:K147">SUM(D144:D146)</f>
        <v>15799.98</v>
      </c>
      <c r="E147" s="59">
        <f t="shared" si="29"/>
        <v>0</v>
      </c>
      <c r="F147" s="59">
        <f t="shared" si="29"/>
        <v>83794</v>
      </c>
      <c r="G147" s="59">
        <f t="shared" si="29"/>
        <v>12271.98</v>
      </c>
      <c r="H147" s="59">
        <f t="shared" si="29"/>
        <v>87322</v>
      </c>
      <c r="I147" s="59">
        <f t="shared" si="29"/>
        <v>14003.000739726027</v>
      </c>
      <c r="J147" s="59">
        <f t="shared" si="29"/>
        <v>5266.66</v>
      </c>
      <c r="K147" s="59">
        <f t="shared" si="29"/>
        <v>73318.99926027397</v>
      </c>
    </row>
    <row r="148" spans="3:11" ht="13.5" thickTop="1">
      <c r="C148" s="56"/>
      <c r="D148" s="14"/>
      <c r="E148" s="14"/>
      <c r="F148" s="14"/>
      <c r="G148" s="14"/>
      <c r="H148" s="14"/>
      <c r="I148" s="14"/>
      <c r="J148" s="14"/>
      <c r="K148" s="14"/>
    </row>
    <row r="149" spans="1:11" ht="12.75">
      <c r="A149" s="55">
        <f>A146+1</f>
        <v>30</v>
      </c>
      <c r="B149" s="4" t="s">
        <v>600</v>
      </c>
      <c r="C149" s="56">
        <v>0.25</v>
      </c>
      <c r="D149" s="14">
        <f>'RUF WORK FIXED ASSETS'!D129</f>
        <v>92.56</v>
      </c>
      <c r="E149" s="14">
        <f>'RUF WORK FIXED ASSETS'!E129</f>
        <v>0</v>
      </c>
      <c r="F149" s="14">
        <f>'RUF WORK FIXED ASSETS'!F129</f>
        <v>0</v>
      </c>
      <c r="G149" s="14">
        <f>'RUF WORK FIXED ASSETS'!G129</f>
        <v>92.56</v>
      </c>
      <c r="H149" s="14">
        <f>'RUF WORK FIXED ASSETS'!H129</f>
        <v>0</v>
      </c>
      <c r="I149" s="14">
        <f>'RUF WORK FIXED ASSETS'!I129</f>
        <v>0</v>
      </c>
      <c r="J149" s="14">
        <f>'RUF WORK FIXED ASSETS'!J129</f>
        <v>30.85</v>
      </c>
      <c r="K149" s="14">
        <f>'RUF WORK FIXED ASSETS'!K129</f>
        <v>0</v>
      </c>
    </row>
    <row r="150" spans="4:11" ht="13.5" thickBot="1">
      <c r="D150" s="59">
        <f>SUM(D149:D149)</f>
        <v>92.56</v>
      </c>
      <c r="E150" s="59">
        <f aca="true" t="shared" si="30" ref="E150:K150">SUM(E149:E149)</f>
        <v>0</v>
      </c>
      <c r="F150" s="59">
        <f t="shared" si="30"/>
        <v>0</v>
      </c>
      <c r="G150" s="59">
        <f t="shared" si="30"/>
        <v>92.56</v>
      </c>
      <c r="H150" s="59">
        <f t="shared" si="30"/>
        <v>0</v>
      </c>
      <c r="I150" s="59">
        <f t="shared" si="30"/>
        <v>0</v>
      </c>
      <c r="J150" s="59">
        <f t="shared" si="30"/>
        <v>30.85</v>
      </c>
      <c r="K150" s="59">
        <f t="shared" si="30"/>
        <v>0</v>
      </c>
    </row>
    <row r="151" ht="13.5" thickTop="1"/>
    <row r="152" spans="1:11" ht="12.75">
      <c r="A152" s="55">
        <f>A149+1</f>
        <v>31</v>
      </c>
      <c r="B152" s="5" t="s">
        <v>532</v>
      </c>
      <c r="C152" s="56">
        <v>0.2</v>
      </c>
      <c r="D152" s="14">
        <f>'RUF WORK FIXED ASSETS'!D45</f>
        <v>246044.87</v>
      </c>
      <c r="E152" s="14">
        <f>'RUF WORK FIXED ASSETS'!E45</f>
        <v>0</v>
      </c>
      <c r="F152" s="14">
        <f>'RUF WORK FIXED ASSETS'!F45</f>
        <v>0</v>
      </c>
      <c r="G152" s="14">
        <f>'RUF WORK FIXED ASSETS'!G45</f>
        <v>0</v>
      </c>
      <c r="H152" s="14">
        <f>'RUF WORK FIXED ASSETS'!H45</f>
        <v>246044.87</v>
      </c>
      <c r="I152" s="14">
        <f>'RUF WORK FIXED ASSETS'!I45</f>
        <v>49208.874</v>
      </c>
      <c r="J152" s="14">
        <f>'RUF WORK FIXED ASSETS'!J45</f>
        <v>60649.82</v>
      </c>
      <c r="K152" s="14">
        <f>'RUF WORK FIXED ASSETS'!K45</f>
        <v>196835.99599999998</v>
      </c>
    </row>
    <row r="153" spans="1:11" ht="12.75">
      <c r="A153" s="55">
        <f>A152</f>
        <v>31</v>
      </c>
      <c r="B153" s="5" t="s">
        <v>609</v>
      </c>
      <c r="C153" s="56">
        <v>0.25</v>
      </c>
      <c r="D153" s="14">
        <f>'RUF WORK FIXED ASSETS'!D143</f>
        <v>2840</v>
      </c>
      <c r="E153" s="14">
        <f>'RUF WORK FIXED ASSETS'!E143</f>
        <v>1801</v>
      </c>
      <c r="F153" s="14">
        <f>'RUF WORK FIXED ASSETS'!F143</f>
        <v>0</v>
      </c>
      <c r="G153" s="14">
        <f>'RUF WORK FIXED ASSETS'!G143</f>
        <v>0</v>
      </c>
      <c r="H153" s="14">
        <f>'RUF WORK FIXED ASSETS'!H143</f>
        <v>4641</v>
      </c>
      <c r="I153" s="14">
        <f>'RUF WORK FIXED ASSETS'!I143</f>
        <v>1160</v>
      </c>
      <c r="J153" s="14">
        <f>'RUF WORK FIXED ASSETS'!J143</f>
        <v>710</v>
      </c>
      <c r="K153" s="14">
        <f>'RUF WORK FIXED ASSETS'!K143</f>
        <v>3481</v>
      </c>
    </row>
    <row r="154" spans="1:11" ht="12.75">
      <c r="A154" s="55">
        <f aca="true" t="shared" si="31" ref="A154:A178">A153</f>
        <v>31</v>
      </c>
      <c r="B154" s="5" t="s">
        <v>578</v>
      </c>
      <c r="C154" s="56">
        <v>0.2</v>
      </c>
      <c r="D154" s="14">
        <f>'RUF WORK FIXED ASSETS'!D101</f>
        <v>192469.53</v>
      </c>
      <c r="E154" s="14">
        <f>'RUF WORK FIXED ASSETS'!E101</f>
        <v>0</v>
      </c>
      <c r="F154" s="14">
        <f>'RUF WORK FIXED ASSETS'!F101</f>
        <v>0</v>
      </c>
      <c r="G154" s="14">
        <f>'RUF WORK FIXED ASSETS'!G101</f>
        <v>0</v>
      </c>
      <c r="H154" s="14">
        <f>'RUF WORK FIXED ASSETS'!H101</f>
        <v>192469.53</v>
      </c>
      <c r="I154" s="14">
        <f>'RUF WORK FIXED ASSETS'!I101</f>
        <v>38493.526000000005</v>
      </c>
      <c r="J154" s="14">
        <f>'RUF WORK FIXED ASSETS'!J101</f>
        <v>48117.38</v>
      </c>
      <c r="K154" s="14">
        <f>'RUF WORK FIXED ASSETS'!K101</f>
        <v>153976.004</v>
      </c>
    </row>
    <row r="155" spans="1:11" ht="12.75">
      <c r="A155" s="55">
        <f t="shared" si="31"/>
        <v>31</v>
      </c>
      <c r="B155" s="5" t="s">
        <v>519</v>
      </c>
      <c r="C155" s="56">
        <v>0.2</v>
      </c>
      <c r="D155" s="14">
        <f>'RUF WORK FIXED ASSETS'!D32</f>
        <v>698099.04</v>
      </c>
      <c r="E155" s="14">
        <f>'RUF WORK FIXED ASSETS'!E32</f>
        <v>0</v>
      </c>
      <c r="F155" s="14">
        <f>'RUF WORK FIXED ASSETS'!F32</f>
        <v>0</v>
      </c>
      <c r="G155" s="14">
        <f>'RUF WORK FIXED ASSETS'!G32</f>
        <v>0</v>
      </c>
      <c r="H155" s="14">
        <f>'RUF WORK FIXED ASSETS'!H32</f>
        <v>698099.04</v>
      </c>
      <c r="I155" s="14">
        <f>'RUF WORK FIXED ASSETS'!I32</f>
        <v>139620.03800000003</v>
      </c>
      <c r="J155" s="14">
        <f>'RUF WORK FIXED ASSETS'!J32</f>
        <v>174524.76</v>
      </c>
      <c r="K155" s="14">
        <f>'RUF WORK FIXED ASSETS'!K32</f>
        <v>558479.002</v>
      </c>
    </row>
    <row r="156" spans="1:11" ht="12.75">
      <c r="A156" s="55">
        <f t="shared" si="31"/>
        <v>31</v>
      </c>
      <c r="B156" s="5" t="s">
        <v>520</v>
      </c>
      <c r="C156" s="56">
        <v>0.2</v>
      </c>
      <c r="D156" s="14">
        <f>'RUF WORK FIXED ASSETS'!D33</f>
        <v>698099.04</v>
      </c>
      <c r="E156" s="14">
        <f>'RUF WORK FIXED ASSETS'!E33</f>
        <v>0</v>
      </c>
      <c r="F156" s="14">
        <f>'RUF WORK FIXED ASSETS'!F33</f>
        <v>0</v>
      </c>
      <c r="G156" s="14">
        <f>'RUF WORK FIXED ASSETS'!G33</f>
        <v>0</v>
      </c>
      <c r="H156" s="14">
        <f>'RUF WORK FIXED ASSETS'!H33</f>
        <v>698099.04</v>
      </c>
      <c r="I156" s="14">
        <f>'RUF WORK FIXED ASSETS'!I33</f>
        <v>139620.03800000003</v>
      </c>
      <c r="J156" s="14">
        <f>'RUF WORK FIXED ASSETS'!J33</f>
        <v>174524.76</v>
      </c>
      <c r="K156" s="14">
        <f>'RUF WORK FIXED ASSETS'!K33</f>
        <v>558479.002</v>
      </c>
    </row>
    <row r="157" spans="1:11" ht="12.75">
      <c r="A157" s="55">
        <f t="shared" si="31"/>
        <v>31</v>
      </c>
      <c r="B157" s="5" t="s">
        <v>521</v>
      </c>
      <c r="C157" s="56">
        <v>0.2</v>
      </c>
      <c r="D157" s="14">
        <f>'RUF WORK FIXED ASSETS'!D34</f>
        <v>698099.04</v>
      </c>
      <c r="E157" s="14">
        <f>'RUF WORK FIXED ASSETS'!E34</f>
        <v>0</v>
      </c>
      <c r="F157" s="14">
        <f>'RUF WORK FIXED ASSETS'!F34</f>
        <v>0</v>
      </c>
      <c r="G157" s="14">
        <f>'RUF WORK FIXED ASSETS'!G34</f>
        <v>0</v>
      </c>
      <c r="H157" s="14">
        <f>'RUF WORK FIXED ASSETS'!H34</f>
        <v>698099.04</v>
      </c>
      <c r="I157" s="14">
        <f>'RUF WORK FIXED ASSETS'!I34</f>
        <v>139620.03800000003</v>
      </c>
      <c r="J157" s="14">
        <f>'RUF WORK FIXED ASSETS'!J34</f>
        <v>174524.76</v>
      </c>
      <c r="K157" s="14">
        <f>'RUF WORK FIXED ASSETS'!K34</f>
        <v>558479.002</v>
      </c>
    </row>
    <row r="158" spans="1:11" ht="12.75">
      <c r="A158" s="55">
        <f t="shared" si="31"/>
        <v>31</v>
      </c>
      <c r="B158" s="5" t="s">
        <v>522</v>
      </c>
      <c r="C158" s="56">
        <v>0.2</v>
      </c>
      <c r="D158" s="14">
        <f>'RUF WORK FIXED ASSETS'!D35</f>
        <v>0</v>
      </c>
      <c r="E158" s="14">
        <f>'RUF WORK FIXED ASSETS'!E35</f>
        <v>1044260</v>
      </c>
      <c r="F158" s="14">
        <f>'RUF WORK FIXED ASSETS'!F35</f>
        <v>0</v>
      </c>
      <c r="G158" s="14">
        <f>'RUF WORK FIXED ASSETS'!G35</f>
        <v>0</v>
      </c>
      <c r="H158" s="14">
        <f>'RUF WORK FIXED ASSETS'!H35</f>
        <v>1044260</v>
      </c>
      <c r="I158" s="14">
        <f>'RUF WORK FIXED ASSETS'!I35</f>
        <v>208852</v>
      </c>
      <c r="J158" s="14">
        <f>'RUF WORK FIXED ASSETS'!J35</f>
        <v>0</v>
      </c>
      <c r="K158" s="14">
        <f>'RUF WORK FIXED ASSETS'!K35</f>
        <v>835408</v>
      </c>
    </row>
    <row r="159" spans="1:11" ht="12.75">
      <c r="A159" s="55">
        <f t="shared" si="31"/>
        <v>31</v>
      </c>
      <c r="B159" s="5" t="s">
        <v>523</v>
      </c>
      <c r="C159" s="56">
        <v>0.2</v>
      </c>
      <c r="D159" s="14">
        <f>'RUF WORK FIXED ASSETS'!D36</f>
        <v>0</v>
      </c>
      <c r="E159" s="14">
        <f>'RUF WORK FIXED ASSETS'!E36</f>
        <v>1044260</v>
      </c>
      <c r="F159" s="14">
        <f>'RUF WORK FIXED ASSETS'!F36</f>
        <v>0</v>
      </c>
      <c r="G159" s="14">
        <f>'RUF WORK FIXED ASSETS'!G36</f>
        <v>0</v>
      </c>
      <c r="H159" s="14">
        <f>'RUF WORK FIXED ASSETS'!H36</f>
        <v>1044260</v>
      </c>
      <c r="I159" s="14">
        <f>'RUF WORK FIXED ASSETS'!I36</f>
        <v>208852</v>
      </c>
      <c r="J159" s="14">
        <f>'RUF WORK FIXED ASSETS'!J36</f>
        <v>0</v>
      </c>
      <c r="K159" s="14">
        <f>'RUF WORK FIXED ASSETS'!K36</f>
        <v>835408</v>
      </c>
    </row>
    <row r="160" spans="1:11" ht="12.75">
      <c r="A160" s="55">
        <f t="shared" si="31"/>
        <v>31</v>
      </c>
      <c r="B160" s="5" t="s">
        <v>524</v>
      </c>
      <c r="C160" s="56">
        <v>0.2</v>
      </c>
      <c r="D160" s="14">
        <f>'RUF WORK FIXED ASSETS'!D37</f>
        <v>0</v>
      </c>
      <c r="E160" s="14">
        <f>'RUF WORK FIXED ASSETS'!E37</f>
        <v>1044260</v>
      </c>
      <c r="F160" s="14">
        <f>'RUF WORK FIXED ASSETS'!F37</f>
        <v>0</v>
      </c>
      <c r="G160" s="14">
        <f>'RUF WORK FIXED ASSETS'!G37</f>
        <v>0</v>
      </c>
      <c r="H160" s="14">
        <f>'RUF WORK FIXED ASSETS'!H37</f>
        <v>1044260</v>
      </c>
      <c r="I160" s="14">
        <f>'RUF WORK FIXED ASSETS'!I37</f>
        <v>208852</v>
      </c>
      <c r="J160" s="14">
        <f>'RUF WORK FIXED ASSETS'!J37</f>
        <v>0</v>
      </c>
      <c r="K160" s="14">
        <f>'RUF WORK FIXED ASSETS'!K37</f>
        <v>835408</v>
      </c>
    </row>
    <row r="161" spans="1:11" ht="12.75">
      <c r="A161" s="55">
        <f t="shared" si="31"/>
        <v>31</v>
      </c>
      <c r="B161" s="5" t="s">
        <v>580</v>
      </c>
      <c r="C161" s="56">
        <v>0.1</v>
      </c>
      <c r="D161" s="14">
        <f>'RUF WORK FIXED ASSETS'!D103</f>
        <v>0</v>
      </c>
      <c r="E161" s="14">
        <f>'RUF WORK FIXED ASSETS'!E103</f>
        <v>0</v>
      </c>
      <c r="F161" s="14">
        <f>'RUF WORK FIXED ASSETS'!F103</f>
        <v>1067825</v>
      </c>
      <c r="G161" s="14">
        <f>'RUF WORK FIXED ASSETS'!G103</f>
        <v>0</v>
      </c>
      <c r="H161" s="14">
        <f>'RUF WORK FIXED ASSETS'!H103</f>
        <v>1067825</v>
      </c>
      <c r="I161" s="14">
        <f>'RUF WORK FIXED ASSETS'!I103</f>
        <v>106783</v>
      </c>
      <c r="J161" s="14">
        <f>'RUF WORK FIXED ASSETS'!J103</f>
        <v>0</v>
      </c>
      <c r="K161" s="14">
        <f>'RUF WORK FIXED ASSETS'!K103</f>
        <v>961042</v>
      </c>
    </row>
    <row r="162" spans="1:11" ht="12.75">
      <c r="A162" s="55">
        <f t="shared" si="31"/>
        <v>31</v>
      </c>
      <c r="B162" s="5" t="s">
        <v>581</v>
      </c>
      <c r="C162" s="56">
        <v>0.1</v>
      </c>
      <c r="D162" s="14">
        <f>'RUF WORK FIXED ASSETS'!D104</f>
        <v>0</v>
      </c>
      <c r="E162" s="14">
        <f>'RUF WORK FIXED ASSETS'!E104</f>
        <v>0</v>
      </c>
      <c r="F162" s="14">
        <f>'RUF WORK FIXED ASSETS'!F104</f>
        <v>1067825</v>
      </c>
      <c r="G162" s="14">
        <f>'RUF WORK FIXED ASSETS'!G104</f>
        <v>0</v>
      </c>
      <c r="H162" s="14">
        <f>'RUF WORK FIXED ASSETS'!H104</f>
        <v>1067825</v>
      </c>
      <c r="I162" s="14">
        <f>'RUF WORK FIXED ASSETS'!I104</f>
        <v>106783</v>
      </c>
      <c r="J162" s="14">
        <f>'RUF WORK FIXED ASSETS'!J104</f>
        <v>0</v>
      </c>
      <c r="K162" s="14">
        <f>'RUF WORK FIXED ASSETS'!K104</f>
        <v>961042</v>
      </c>
    </row>
    <row r="163" spans="1:11" ht="12.75">
      <c r="A163" s="55">
        <f t="shared" si="31"/>
        <v>31</v>
      </c>
      <c r="B163" s="5" t="s">
        <v>582</v>
      </c>
      <c r="C163" s="56">
        <v>0.1</v>
      </c>
      <c r="D163" s="14">
        <f>'RUF WORK FIXED ASSETS'!D105</f>
        <v>0</v>
      </c>
      <c r="E163" s="14">
        <f>'RUF WORK FIXED ASSETS'!E105</f>
        <v>0</v>
      </c>
      <c r="F163" s="14">
        <f>'RUF WORK FIXED ASSETS'!F105</f>
        <v>1067820</v>
      </c>
      <c r="G163" s="14">
        <f>'RUF WORK FIXED ASSETS'!G105</f>
        <v>0</v>
      </c>
      <c r="H163" s="14">
        <f>'RUF WORK FIXED ASSETS'!H105</f>
        <v>1067820</v>
      </c>
      <c r="I163" s="14">
        <f>'RUF WORK FIXED ASSETS'!I105</f>
        <v>106782</v>
      </c>
      <c r="J163" s="14">
        <f>'RUF WORK FIXED ASSETS'!J105</f>
        <v>0</v>
      </c>
      <c r="K163" s="14">
        <f>'RUF WORK FIXED ASSETS'!K105</f>
        <v>961038</v>
      </c>
    </row>
    <row r="164" spans="1:11" ht="12.75">
      <c r="A164" s="55">
        <f t="shared" si="31"/>
        <v>31</v>
      </c>
      <c r="B164" s="5" t="s">
        <v>583</v>
      </c>
      <c r="C164" s="56">
        <v>0.1</v>
      </c>
      <c r="D164" s="14">
        <f>'RUF WORK FIXED ASSETS'!D106</f>
        <v>0</v>
      </c>
      <c r="E164" s="14">
        <f>'RUF WORK FIXED ASSETS'!E106</f>
        <v>0</v>
      </c>
      <c r="F164" s="14">
        <f>'RUF WORK FIXED ASSETS'!F106</f>
        <v>1069840</v>
      </c>
      <c r="G164" s="14">
        <f>'RUF WORK FIXED ASSETS'!G106</f>
        <v>0</v>
      </c>
      <c r="H164" s="14">
        <f>'RUF WORK FIXED ASSETS'!H106</f>
        <v>1069840</v>
      </c>
      <c r="I164" s="14">
        <f>'RUF WORK FIXED ASSETS'!I106</f>
        <v>106984</v>
      </c>
      <c r="J164" s="14">
        <f>'RUF WORK FIXED ASSETS'!J106</f>
        <v>0</v>
      </c>
      <c r="K164" s="14">
        <f>'RUF WORK FIXED ASSETS'!K106</f>
        <v>962856</v>
      </c>
    </row>
    <row r="165" spans="1:11" ht="12.75">
      <c r="A165" s="55">
        <f t="shared" si="31"/>
        <v>31</v>
      </c>
      <c r="B165" s="5" t="s">
        <v>584</v>
      </c>
      <c r="C165" s="56">
        <v>0.1</v>
      </c>
      <c r="D165" s="14">
        <f>'RUF WORK FIXED ASSETS'!D107</f>
        <v>0</v>
      </c>
      <c r="E165" s="14">
        <f>'RUF WORK FIXED ASSETS'!E107</f>
        <v>0</v>
      </c>
      <c r="F165" s="14">
        <f>'RUF WORK FIXED ASSETS'!F107</f>
        <v>1069940</v>
      </c>
      <c r="G165" s="14">
        <f>'RUF WORK FIXED ASSETS'!G107</f>
        <v>0</v>
      </c>
      <c r="H165" s="14">
        <f>'RUF WORK FIXED ASSETS'!H107</f>
        <v>1069940</v>
      </c>
      <c r="I165" s="14">
        <f>'RUF WORK FIXED ASSETS'!I107</f>
        <v>106994</v>
      </c>
      <c r="J165" s="14">
        <f>'RUF WORK FIXED ASSETS'!J107</f>
        <v>0</v>
      </c>
      <c r="K165" s="14">
        <f>'RUF WORK FIXED ASSETS'!K107</f>
        <v>962946</v>
      </c>
    </row>
    <row r="166" spans="1:11" ht="12.75">
      <c r="A166" s="55">
        <f t="shared" si="31"/>
        <v>31</v>
      </c>
      <c r="B166" s="5" t="s">
        <v>585</v>
      </c>
      <c r="C166" s="56">
        <v>0.1</v>
      </c>
      <c r="D166" s="14">
        <f>'RUF WORK FIXED ASSETS'!D108</f>
        <v>0</v>
      </c>
      <c r="E166" s="14">
        <f>'RUF WORK FIXED ASSETS'!E108</f>
        <v>0</v>
      </c>
      <c r="F166" s="14">
        <f>'RUF WORK FIXED ASSETS'!F108</f>
        <v>1069940</v>
      </c>
      <c r="G166" s="14">
        <f>'RUF WORK FIXED ASSETS'!G108</f>
        <v>0</v>
      </c>
      <c r="H166" s="14">
        <f>'RUF WORK FIXED ASSETS'!H108</f>
        <v>1069940</v>
      </c>
      <c r="I166" s="14">
        <f>'RUF WORK FIXED ASSETS'!I108</f>
        <v>106994</v>
      </c>
      <c r="J166" s="14">
        <f>'RUF WORK FIXED ASSETS'!J108</f>
        <v>0</v>
      </c>
      <c r="K166" s="14">
        <f>'RUF WORK FIXED ASSETS'!K108</f>
        <v>962946</v>
      </c>
    </row>
    <row r="167" spans="1:11" ht="12.75">
      <c r="A167" s="55">
        <f t="shared" si="31"/>
        <v>31</v>
      </c>
      <c r="B167" s="5" t="s">
        <v>586</v>
      </c>
      <c r="C167" s="56">
        <v>0.1</v>
      </c>
      <c r="D167" s="14">
        <f>'RUF WORK FIXED ASSETS'!D109</f>
        <v>0</v>
      </c>
      <c r="E167" s="14">
        <f>'RUF WORK FIXED ASSETS'!E109</f>
        <v>0</v>
      </c>
      <c r="F167" s="14">
        <f>'RUF WORK FIXED ASSETS'!F109</f>
        <v>1069940</v>
      </c>
      <c r="G167" s="14">
        <f>'RUF WORK FIXED ASSETS'!G109</f>
        <v>0</v>
      </c>
      <c r="H167" s="14">
        <f>'RUF WORK FIXED ASSETS'!H109</f>
        <v>1069940</v>
      </c>
      <c r="I167" s="14">
        <f>'RUF WORK FIXED ASSETS'!I109</f>
        <v>106994</v>
      </c>
      <c r="J167" s="14">
        <f>'RUF WORK FIXED ASSETS'!J109</f>
        <v>0</v>
      </c>
      <c r="K167" s="14">
        <f>'RUF WORK FIXED ASSETS'!K109</f>
        <v>962946</v>
      </c>
    </row>
    <row r="168" spans="1:11" ht="12.75">
      <c r="A168" s="55">
        <f t="shared" si="31"/>
        <v>31</v>
      </c>
      <c r="B168" s="5" t="s">
        <v>577</v>
      </c>
      <c r="C168" s="56">
        <v>0.2</v>
      </c>
      <c r="D168" s="14">
        <f>'RUF WORK FIXED ASSETS'!D100</f>
        <v>201545.81</v>
      </c>
      <c r="E168" s="14">
        <f>'RUF WORK FIXED ASSETS'!E100</f>
        <v>0</v>
      </c>
      <c r="F168" s="14">
        <f>'RUF WORK FIXED ASSETS'!F100</f>
        <v>0</v>
      </c>
      <c r="G168" s="14">
        <f>'RUF WORK FIXED ASSETS'!G100</f>
        <v>0</v>
      </c>
      <c r="H168" s="14">
        <f>'RUF WORK FIXED ASSETS'!H100</f>
        <v>201545.81</v>
      </c>
      <c r="I168" s="14">
        <f>'RUF WORK FIXED ASSETS'!I100</f>
        <v>40308.812000000005</v>
      </c>
      <c r="J168" s="14">
        <f>'RUF WORK FIXED ASSETS'!J100</f>
        <v>50386.45</v>
      </c>
      <c r="K168" s="14">
        <f>'RUF WORK FIXED ASSETS'!K100</f>
        <v>161236.998</v>
      </c>
    </row>
    <row r="169" spans="1:11" ht="12.75">
      <c r="A169" s="55">
        <f t="shared" si="31"/>
        <v>31</v>
      </c>
      <c r="B169" s="5" t="s">
        <v>525</v>
      </c>
      <c r="C169" s="56">
        <v>0.2</v>
      </c>
      <c r="D169" s="14">
        <f>'RUF WORK FIXED ASSETS'!D38</f>
        <v>410411.52</v>
      </c>
      <c r="E169" s="14">
        <f>'RUF WORK FIXED ASSETS'!E38</f>
        <v>0</v>
      </c>
      <c r="F169" s="14">
        <f>'RUF WORK FIXED ASSETS'!F38</f>
        <v>0</v>
      </c>
      <c r="G169" s="14">
        <f>'RUF WORK FIXED ASSETS'!G38</f>
        <v>0</v>
      </c>
      <c r="H169" s="14">
        <f>'RUF WORK FIXED ASSETS'!H38</f>
        <v>410411.52</v>
      </c>
      <c r="I169" s="14">
        <f>'RUF WORK FIXED ASSETS'!I38</f>
        <v>82082.524</v>
      </c>
      <c r="J169" s="14">
        <f>'RUF WORK FIXED ASSETS'!J38</f>
        <v>102602.88</v>
      </c>
      <c r="K169" s="14">
        <f>'RUF WORK FIXED ASSETS'!K38</f>
        <v>328328.99600000004</v>
      </c>
    </row>
    <row r="170" spans="1:11" ht="12.75">
      <c r="A170" s="55">
        <f t="shared" si="31"/>
        <v>31</v>
      </c>
      <c r="B170" s="5" t="s">
        <v>526</v>
      </c>
      <c r="C170" s="56">
        <v>0.2</v>
      </c>
      <c r="D170" s="14">
        <f>'RUF WORK FIXED ASSETS'!D39</f>
        <v>344291.6</v>
      </c>
      <c r="E170" s="14">
        <f>'RUF WORK FIXED ASSETS'!E39</f>
        <v>0</v>
      </c>
      <c r="F170" s="14">
        <f>'RUF WORK FIXED ASSETS'!F39</f>
        <v>0</v>
      </c>
      <c r="G170" s="14">
        <f>'RUF WORK FIXED ASSETS'!G39</f>
        <v>0</v>
      </c>
      <c r="H170" s="14">
        <f>'RUF WORK FIXED ASSETS'!H39</f>
        <v>344291.6</v>
      </c>
      <c r="I170" s="14">
        <f>'RUF WORK FIXED ASSETS'!I39</f>
        <v>68858.59999999999</v>
      </c>
      <c r="J170" s="14">
        <f>'RUF WORK FIXED ASSETS'!J39</f>
        <v>86072.9</v>
      </c>
      <c r="K170" s="14">
        <f>'RUF WORK FIXED ASSETS'!K39</f>
        <v>275433</v>
      </c>
    </row>
    <row r="171" spans="1:11" ht="12.75">
      <c r="A171" s="55">
        <f t="shared" si="31"/>
        <v>31</v>
      </c>
      <c r="B171" s="5" t="s">
        <v>527</v>
      </c>
      <c r="C171" s="56">
        <v>0.2</v>
      </c>
      <c r="D171" s="14">
        <f>'RUF WORK FIXED ASSETS'!D40</f>
        <v>14134.8</v>
      </c>
      <c r="E171" s="14">
        <f>'RUF WORK FIXED ASSETS'!E40</f>
        <v>0</v>
      </c>
      <c r="F171" s="14">
        <f>'RUF WORK FIXED ASSETS'!F40</f>
        <v>0</v>
      </c>
      <c r="G171" s="14">
        <f>'RUF WORK FIXED ASSETS'!G40</f>
        <v>0</v>
      </c>
      <c r="H171" s="14">
        <f>'RUF WORK FIXED ASSETS'!H40</f>
        <v>14134.8</v>
      </c>
      <c r="I171" s="14">
        <f>'RUF WORK FIXED ASSETS'!I40</f>
        <v>2826.8</v>
      </c>
      <c r="J171" s="14">
        <f>'RUF WORK FIXED ASSETS'!J40</f>
        <v>3533.7</v>
      </c>
      <c r="K171" s="14">
        <f>'RUF WORK FIXED ASSETS'!K40</f>
        <v>11308</v>
      </c>
    </row>
    <row r="172" spans="1:11" ht="12.75">
      <c r="A172" s="55">
        <f t="shared" si="31"/>
        <v>31</v>
      </c>
      <c r="B172" s="5" t="s">
        <v>528</v>
      </c>
      <c r="C172" s="56">
        <v>0.2</v>
      </c>
      <c r="D172" s="14">
        <f>'RUF WORK FIXED ASSETS'!D41</f>
        <v>0</v>
      </c>
      <c r="E172" s="14">
        <f>'RUF WORK FIXED ASSETS'!E41</f>
        <v>33634</v>
      </c>
      <c r="F172" s="14">
        <f>'RUF WORK FIXED ASSETS'!F41</f>
        <v>2047</v>
      </c>
      <c r="G172" s="14">
        <f>'RUF WORK FIXED ASSETS'!G41</f>
        <v>0</v>
      </c>
      <c r="H172" s="14">
        <f>'RUF WORK FIXED ASSETS'!H41</f>
        <v>35681</v>
      </c>
      <c r="I172" s="14">
        <f>'RUF WORK FIXED ASSETS'!I41</f>
        <v>6932</v>
      </c>
      <c r="J172" s="14">
        <f>'RUF WORK FIXED ASSETS'!J41</f>
        <v>0</v>
      </c>
      <c r="K172" s="14">
        <f>'RUF WORK FIXED ASSETS'!K41</f>
        <v>28749</v>
      </c>
    </row>
    <row r="173" spans="1:11" ht="12.75">
      <c r="A173" s="55">
        <f t="shared" si="31"/>
        <v>31</v>
      </c>
      <c r="B173" s="5" t="s">
        <v>550</v>
      </c>
      <c r="C173" s="56">
        <v>0.2</v>
      </c>
      <c r="D173" s="14">
        <f>'RUF WORK FIXED ASSETS'!D68</f>
        <v>345572.51</v>
      </c>
      <c r="E173" s="14">
        <f>'RUF WORK FIXED ASSETS'!E68</f>
        <v>0</v>
      </c>
      <c r="F173" s="14">
        <f>'RUF WORK FIXED ASSETS'!F68</f>
        <v>0</v>
      </c>
      <c r="G173" s="14">
        <f>'RUF WORK FIXED ASSETS'!G68</f>
        <v>0</v>
      </c>
      <c r="H173" s="14">
        <f>'RUF WORK FIXED ASSETS'!H68</f>
        <v>345572.51</v>
      </c>
      <c r="I173" s="14">
        <f>'RUF WORK FIXED ASSETS'!I68</f>
        <v>69114.512</v>
      </c>
      <c r="J173" s="14">
        <f>'RUF WORK FIXED ASSETS'!J68</f>
        <v>86318.11</v>
      </c>
      <c r="K173" s="14">
        <f>'RUF WORK FIXED ASSETS'!K68</f>
        <v>276457.998</v>
      </c>
    </row>
    <row r="174" spans="1:11" ht="12.75">
      <c r="A174" s="55">
        <f t="shared" si="31"/>
        <v>31</v>
      </c>
      <c r="B174" s="5" t="s">
        <v>551</v>
      </c>
      <c r="C174" s="56">
        <v>0.2</v>
      </c>
      <c r="D174" s="14">
        <f>'RUF WORK FIXED ASSETS'!D69</f>
        <v>0</v>
      </c>
      <c r="E174" s="14">
        <f>'RUF WORK FIXED ASSETS'!E69</f>
        <v>1858421</v>
      </c>
      <c r="F174" s="14">
        <f>'RUF WORK FIXED ASSETS'!F69</f>
        <v>0</v>
      </c>
      <c r="G174" s="14">
        <f>'RUF WORK FIXED ASSETS'!G69</f>
        <v>0</v>
      </c>
      <c r="H174" s="14">
        <f>'RUF WORK FIXED ASSETS'!H69</f>
        <v>1858421</v>
      </c>
      <c r="I174" s="14">
        <f>'RUF WORK FIXED ASSETS'!I69</f>
        <v>371684</v>
      </c>
      <c r="J174" s="14">
        <f>'RUF WORK FIXED ASSETS'!J69</f>
        <v>0</v>
      </c>
      <c r="K174" s="14">
        <f>'RUF WORK FIXED ASSETS'!K69</f>
        <v>1486737</v>
      </c>
    </row>
    <row r="175" spans="1:11" ht="12.75">
      <c r="A175" s="55">
        <f t="shared" si="31"/>
        <v>31</v>
      </c>
      <c r="B175" s="4" t="s">
        <v>595</v>
      </c>
      <c r="C175" s="56">
        <v>0.2</v>
      </c>
      <c r="D175" s="14">
        <f>'RUF WORK FIXED ASSETS'!D124</f>
        <v>3829.65</v>
      </c>
      <c r="E175" s="14">
        <f>'RUF WORK FIXED ASSETS'!E124</f>
        <v>0</v>
      </c>
      <c r="F175" s="14">
        <f>'RUF WORK FIXED ASSETS'!F124</f>
        <v>0</v>
      </c>
      <c r="G175" s="14">
        <f>'RUF WORK FIXED ASSETS'!G124</f>
        <v>0</v>
      </c>
      <c r="H175" s="14">
        <f>'RUF WORK FIXED ASSETS'!H124</f>
        <v>3829.65</v>
      </c>
      <c r="I175" s="14">
        <f>'RUF WORK FIXED ASSETS'!I124</f>
        <v>765.6500000000001</v>
      </c>
      <c r="J175" s="14">
        <f>'RUF WORK FIXED ASSETS'!J124</f>
        <v>957.4</v>
      </c>
      <c r="K175" s="14">
        <f>'RUF WORK FIXED ASSETS'!K124</f>
        <v>3064</v>
      </c>
    </row>
    <row r="176" spans="1:11" ht="12.75">
      <c r="A176" s="55">
        <f t="shared" si="31"/>
        <v>31</v>
      </c>
      <c r="B176" s="5" t="s">
        <v>552</v>
      </c>
      <c r="C176" s="56">
        <v>0.2</v>
      </c>
      <c r="D176" s="14">
        <f>'RUF WORK FIXED ASSETS'!D70</f>
        <v>214657.6</v>
      </c>
      <c r="E176" s="14">
        <f>'RUF WORK FIXED ASSETS'!E70</f>
        <v>0</v>
      </c>
      <c r="F176" s="14">
        <f>'RUF WORK FIXED ASSETS'!F70</f>
        <v>0</v>
      </c>
      <c r="G176" s="14">
        <f>'RUF WORK FIXED ASSETS'!G70</f>
        <v>0</v>
      </c>
      <c r="H176" s="14">
        <f>'RUF WORK FIXED ASSETS'!H70</f>
        <v>214657.6</v>
      </c>
      <c r="I176" s="14">
        <f>'RUF WORK FIXED ASSETS'!I70</f>
        <v>42931.600000000006</v>
      </c>
      <c r="J176" s="14">
        <f>'RUF WORK FIXED ASSETS'!J70</f>
        <v>53664.4</v>
      </c>
      <c r="K176" s="14">
        <f>'RUF WORK FIXED ASSETS'!K70</f>
        <v>171726</v>
      </c>
    </row>
    <row r="177" spans="1:11" ht="12.75">
      <c r="A177" s="55">
        <f t="shared" si="31"/>
        <v>31</v>
      </c>
      <c r="B177" s="5" t="s">
        <v>579</v>
      </c>
      <c r="C177" s="56">
        <v>0.2</v>
      </c>
      <c r="D177" s="14">
        <f>'RUF WORK FIXED ASSETS'!D102</f>
        <v>501692.4</v>
      </c>
      <c r="E177" s="14">
        <f>'RUF WORK FIXED ASSETS'!E102</f>
        <v>0</v>
      </c>
      <c r="F177" s="14">
        <f>'RUF WORK FIXED ASSETS'!F102</f>
        <v>0</v>
      </c>
      <c r="G177" s="14">
        <f>'RUF WORK FIXED ASSETS'!G102</f>
        <v>0</v>
      </c>
      <c r="H177" s="14">
        <f>'RUF WORK FIXED ASSETS'!H102</f>
        <v>501692.4</v>
      </c>
      <c r="I177" s="14">
        <f>'RUF WORK FIXED ASSETS'!I102</f>
        <v>100338.40000000001</v>
      </c>
      <c r="J177" s="14">
        <f>'RUF WORK FIXED ASSETS'!J102</f>
        <v>125423.1</v>
      </c>
      <c r="K177" s="14">
        <f>'RUF WORK FIXED ASSETS'!K102</f>
        <v>401354</v>
      </c>
    </row>
    <row r="178" spans="1:11" ht="12.75">
      <c r="A178" s="55">
        <f t="shared" si="31"/>
        <v>31</v>
      </c>
      <c r="B178" s="4" t="s">
        <v>596</v>
      </c>
      <c r="C178" s="56">
        <v>0.2</v>
      </c>
      <c r="D178" s="14">
        <f>'RUF WORK FIXED ASSETS'!D125</f>
        <v>0</v>
      </c>
      <c r="E178" s="14">
        <f>'RUF WORK FIXED ASSETS'!E125</f>
        <v>0</v>
      </c>
      <c r="F178" s="14">
        <f>'RUF WORK FIXED ASSETS'!F125</f>
        <v>602733</v>
      </c>
      <c r="G178" s="14">
        <f>'RUF WORK FIXED ASSETS'!G125</f>
        <v>0</v>
      </c>
      <c r="H178" s="14">
        <f>'RUF WORK FIXED ASSETS'!H125</f>
        <v>602733</v>
      </c>
      <c r="I178" s="14">
        <f>'RUF WORK FIXED ASSETS'!I125</f>
        <v>60273</v>
      </c>
      <c r="J178" s="14">
        <f>'RUF WORK FIXED ASSETS'!J125</f>
        <v>0</v>
      </c>
      <c r="K178" s="14">
        <f>'RUF WORK FIXED ASSETS'!K125</f>
        <v>542460</v>
      </c>
    </row>
    <row r="179" spans="4:11" ht="13.5" thickBot="1">
      <c r="D179" s="59">
        <f aca="true" t="shared" si="32" ref="D179:K179">SUM(D152:D178)</f>
        <v>4571787.41</v>
      </c>
      <c r="E179" s="59">
        <f t="shared" si="32"/>
        <v>5026636</v>
      </c>
      <c r="F179" s="59">
        <f t="shared" si="32"/>
        <v>8087910</v>
      </c>
      <c r="G179" s="59">
        <f t="shared" si="32"/>
        <v>0</v>
      </c>
      <c r="H179" s="59">
        <f t="shared" si="32"/>
        <v>17686333.41</v>
      </c>
      <c r="I179" s="59">
        <f t="shared" si="32"/>
        <v>2728708.412</v>
      </c>
      <c r="J179" s="59">
        <f t="shared" si="32"/>
        <v>1142010.42</v>
      </c>
      <c r="K179" s="59">
        <f t="shared" si="32"/>
        <v>14957624.998</v>
      </c>
    </row>
    <row r="180" ht="13.5" thickTop="1"/>
    <row r="181" spans="1:11" ht="12.75">
      <c r="A181" s="55">
        <f>A178+1</f>
        <v>32</v>
      </c>
      <c r="B181" s="5" t="s">
        <v>553</v>
      </c>
      <c r="C181" s="56">
        <v>0.25</v>
      </c>
      <c r="D181" s="14">
        <f>'RUF WORK FIXED ASSETS'!D71</f>
        <v>0</v>
      </c>
      <c r="E181" s="14">
        <f>'RUF WORK FIXED ASSETS'!E71</f>
        <v>0</v>
      </c>
      <c r="F181" s="14">
        <f>'RUF WORK FIXED ASSETS'!F71</f>
        <v>5700</v>
      </c>
      <c r="G181" s="14">
        <f>'RUF WORK FIXED ASSETS'!G71</f>
        <v>0</v>
      </c>
      <c r="H181" s="14">
        <f>'RUF WORK FIXED ASSETS'!H71</f>
        <v>5700</v>
      </c>
      <c r="I181" s="14">
        <f>'RUF WORK FIXED ASSETS'!I71</f>
        <v>713</v>
      </c>
      <c r="J181" s="14">
        <f>'RUF WORK FIXED ASSETS'!J71</f>
        <v>0</v>
      </c>
      <c r="K181" s="14">
        <f>'RUF WORK FIXED ASSETS'!K71</f>
        <v>4987</v>
      </c>
    </row>
    <row r="182" spans="1:11" ht="12.75">
      <c r="A182" s="55">
        <f>A181</f>
        <v>32</v>
      </c>
      <c r="B182" s="5" t="s">
        <v>610</v>
      </c>
      <c r="C182" s="56">
        <v>0.25</v>
      </c>
      <c r="D182" s="14">
        <f>'RUF WORK FIXED ASSETS'!D145</f>
        <v>0</v>
      </c>
      <c r="E182" s="14">
        <f>'RUF WORK FIXED ASSETS'!E145</f>
        <v>0</v>
      </c>
      <c r="F182" s="14">
        <f>'RUF WORK FIXED ASSETS'!F145</f>
        <v>246200</v>
      </c>
      <c r="G182" s="14">
        <f>'RUF WORK FIXED ASSETS'!G145</f>
        <v>0</v>
      </c>
      <c r="H182" s="14">
        <f>'RUF WORK FIXED ASSETS'!H145</f>
        <v>246200</v>
      </c>
      <c r="I182" s="14">
        <f>'RUF WORK FIXED ASSETS'!I145</f>
        <v>30775</v>
      </c>
      <c r="J182" s="14">
        <f>'RUF WORK FIXED ASSETS'!J145</f>
        <v>0</v>
      </c>
      <c r="K182" s="14">
        <f>'RUF WORK FIXED ASSETS'!K145</f>
        <v>215425</v>
      </c>
    </row>
    <row r="183" spans="4:11" ht="13.5" thickBot="1">
      <c r="D183" s="59">
        <f>SUM(D181:D182)</f>
        <v>0</v>
      </c>
      <c r="E183" s="59">
        <f aca="true" t="shared" si="33" ref="E183:K183">SUM(E181:E182)</f>
        <v>0</v>
      </c>
      <c r="F183" s="59">
        <f t="shared" si="33"/>
        <v>251900</v>
      </c>
      <c r="G183" s="59">
        <f t="shared" si="33"/>
        <v>0</v>
      </c>
      <c r="H183" s="59">
        <f t="shared" si="33"/>
        <v>251900</v>
      </c>
      <c r="I183" s="59">
        <f t="shared" si="33"/>
        <v>31488</v>
      </c>
      <c r="J183" s="59">
        <f t="shared" si="33"/>
        <v>0</v>
      </c>
      <c r="K183" s="59">
        <f t="shared" si="33"/>
        <v>220412</v>
      </c>
    </row>
    <row r="184" ht="13.5" thickTop="1"/>
    <row r="185" spans="1:11" ht="12.75">
      <c r="A185" s="55">
        <f>A182+1</f>
        <v>33</v>
      </c>
      <c r="B185" s="5" t="s">
        <v>533</v>
      </c>
      <c r="C185" s="56">
        <v>0.25</v>
      </c>
      <c r="D185" s="14">
        <f>'RUF WORK FIXED ASSETS'!D46</f>
        <v>169511.86</v>
      </c>
      <c r="E185" s="14">
        <f>'RUF WORK FIXED ASSETS'!E46</f>
        <v>65484</v>
      </c>
      <c r="F185" s="14">
        <f>'RUF WORK FIXED ASSETS'!F46</f>
        <v>0</v>
      </c>
      <c r="G185" s="14">
        <f>'RUF WORK FIXED ASSETS'!G46</f>
        <v>0</v>
      </c>
      <c r="H185" s="14">
        <f>'RUF WORK FIXED ASSETS'!H46</f>
        <v>234995.86</v>
      </c>
      <c r="I185" s="14">
        <f>'RUF WORK FIXED ASSETS'!I46</f>
        <v>58748.854999999996</v>
      </c>
      <c r="J185" s="14">
        <f>'RUF WORK FIXED ASSETS'!J46</f>
        <v>56503.96</v>
      </c>
      <c r="K185" s="14">
        <f>'RUF WORK FIXED ASSETS'!K46</f>
        <v>176246.995</v>
      </c>
    </row>
    <row r="186" spans="4:11" ht="13.5" thickBot="1">
      <c r="D186" s="59">
        <f>SUM(D185:D185)</f>
        <v>169511.86</v>
      </c>
      <c r="E186" s="59">
        <f aca="true" t="shared" si="34" ref="E186:K186">SUM(E185:E185)</f>
        <v>65484</v>
      </c>
      <c r="F186" s="59">
        <f t="shared" si="34"/>
        <v>0</v>
      </c>
      <c r="G186" s="59">
        <f t="shared" si="34"/>
        <v>0</v>
      </c>
      <c r="H186" s="59">
        <f t="shared" si="34"/>
        <v>234995.86</v>
      </c>
      <c r="I186" s="59">
        <f t="shared" si="34"/>
        <v>58748.854999999996</v>
      </c>
      <c r="J186" s="59">
        <f t="shared" si="34"/>
        <v>56503.96</v>
      </c>
      <c r="K186" s="59">
        <f t="shared" si="34"/>
        <v>176246.995</v>
      </c>
    </row>
    <row r="187" ht="13.5" thickTop="1"/>
    <row r="188" spans="1:11" ht="12.75">
      <c r="A188" s="55">
        <f>A185+1</f>
        <v>34</v>
      </c>
      <c r="B188" s="5" t="s">
        <v>587</v>
      </c>
      <c r="C188" s="56">
        <v>0.25</v>
      </c>
      <c r="D188" s="14">
        <f>'RUF WORK FIXED ASSETS'!D110</f>
        <v>51786</v>
      </c>
      <c r="E188" s="14">
        <f>'RUF WORK FIXED ASSETS'!E110</f>
        <v>48285</v>
      </c>
      <c r="F188" s="14">
        <f>'RUF WORK FIXED ASSETS'!F110</f>
        <v>0</v>
      </c>
      <c r="G188" s="14">
        <f>'RUF WORK FIXED ASSETS'!G110</f>
        <v>0</v>
      </c>
      <c r="H188" s="14">
        <f>'RUF WORK FIXED ASSETS'!H110</f>
        <v>100071</v>
      </c>
      <c r="I188" s="14">
        <f>'RUF WORK FIXED ASSETS'!I110</f>
        <v>25018</v>
      </c>
      <c r="J188" s="14">
        <f>'RUF WORK FIXED ASSETS'!J110</f>
        <v>17262</v>
      </c>
      <c r="K188" s="14">
        <f>'RUF WORK FIXED ASSETS'!K110</f>
        <v>75053</v>
      </c>
    </row>
    <row r="189" spans="4:11" ht="13.5" thickBot="1">
      <c r="D189" s="59">
        <f aca="true" t="shared" si="35" ref="D189:K189">SUM(D188:D188)</f>
        <v>51786</v>
      </c>
      <c r="E189" s="59">
        <f t="shared" si="35"/>
        <v>48285</v>
      </c>
      <c r="F189" s="59">
        <f t="shared" si="35"/>
        <v>0</v>
      </c>
      <c r="G189" s="59">
        <f t="shared" si="35"/>
        <v>0</v>
      </c>
      <c r="H189" s="59">
        <f t="shared" si="35"/>
        <v>100071</v>
      </c>
      <c r="I189" s="59">
        <f t="shared" si="35"/>
        <v>25018</v>
      </c>
      <c r="J189" s="59">
        <f t="shared" si="35"/>
        <v>17262</v>
      </c>
      <c r="K189" s="59">
        <f t="shared" si="35"/>
        <v>75053</v>
      </c>
    </row>
    <row r="190" ht="13.5" thickTop="1"/>
    <row r="191" spans="1:11" ht="12.75">
      <c r="A191" s="55">
        <f>A188+1</f>
        <v>35</v>
      </c>
      <c r="B191" s="5" t="s">
        <v>535</v>
      </c>
      <c r="C191" s="57">
        <v>0.25</v>
      </c>
      <c r="D191" s="14">
        <f>'RUF WORK FIXED ASSETS'!D52</f>
        <v>0</v>
      </c>
      <c r="E191" s="14">
        <f>'RUF WORK FIXED ASSETS'!E52</f>
        <v>43617</v>
      </c>
      <c r="F191" s="14">
        <f>'RUF WORK FIXED ASSETS'!F52</f>
        <v>0</v>
      </c>
      <c r="G191" s="14">
        <f>'RUF WORK FIXED ASSETS'!G52</f>
        <v>0</v>
      </c>
      <c r="H191" s="14">
        <f>'RUF WORK FIXED ASSETS'!H52</f>
        <v>43617</v>
      </c>
      <c r="I191" s="14">
        <f>'RUF WORK FIXED ASSETS'!I52</f>
        <v>10904</v>
      </c>
      <c r="J191" s="14">
        <f>'RUF WORK FIXED ASSETS'!J52</f>
        <v>0</v>
      </c>
      <c r="K191" s="14">
        <f>'RUF WORK FIXED ASSETS'!K52</f>
        <v>32713</v>
      </c>
    </row>
    <row r="192" spans="1:11" ht="12.75">
      <c r="A192" s="55">
        <f>A191</f>
        <v>35</v>
      </c>
      <c r="B192" s="5" t="s">
        <v>502</v>
      </c>
      <c r="C192" s="56">
        <v>0.25</v>
      </c>
      <c r="D192" s="14">
        <f>'RUF WORK FIXED ASSETS'!D14</f>
        <v>467860.75</v>
      </c>
      <c r="E192" s="14">
        <f>'RUF WORK FIXED ASSETS'!E14</f>
        <v>0</v>
      </c>
      <c r="F192" s="14">
        <f>'RUF WORK FIXED ASSETS'!F14</f>
        <v>0</v>
      </c>
      <c r="G192" s="14">
        <f>'RUF WORK FIXED ASSETS'!G14</f>
        <v>0</v>
      </c>
      <c r="H192" s="14">
        <f>'RUF WORK FIXED ASSETS'!H14</f>
        <v>467860.75</v>
      </c>
      <c r="I192" s="14">
        <f>'RUF WORK FIXED ASSETS'!I14</f>
        <v>116964.7475</v>
      </c>
      <c r="J192" s="14">
        <f>'RUF WORK FIXED ASSETS'!J14</f>
        <v>66837.25</v>
      </c>
      <c r="K192" s="14">
        <f>'RUF WORK FIXED ASSETS'!K14</f>
        <v>350896.0025</v>
      </c>
    </row>
    <row r="193" spans="4:11" ht="13.5" thickBot="1">
      <c r="D193" s="59">
        <f>SUM(D191:D192)</f>
        <v>467860.75</v>
      </c>
      <c r="E193" s="59">
        <f aca="true" t="shared" si="36" ref="E193:K193">SUM(E191:E192)</f>
        <v>43617</v>
      </c>
      <c r="F193" s="59">
        <f t="shared" si="36"/>
        <v>0</v>
      </c>
      <c r="G193" s="59">
        <f t="shared" si="36"/>
        <v>0</v>
      </c>
      <c r="H193" s="59">
        <f t="shared" si="36"/>
        <v>511477.75</v>
      </c>
      <c r="I193" s="59">
        <f t="shared" si="36"/>
        <v>127868.7475</v>
      </c>
      <c r="J193" s="59">
        <f t="shared" si="36"/>
        <v>66837.25</v>
      </c>
      <c r="K193" s="59">
        <f t="shared" si="36"/>
        <v>383609.0025</v>
      </c>
    </row>
    <row r="194" ht="13.5" thickTop="1"/>
    <row r="195" spans="1:11" ht="12.75">
      <c r="A195" s="55">
        <f>A192+1</f>
        <v>36</v>
      </c>
      <c r="B195" s="5" t="s">
        <v>619</v>
      </c>
      <c r="C195" s="56">
        <v>0</v>
      </c>
      <c r="D195" s="48">
        <v>2146860</v>
      </c>
      <c r="E195" s="14">
        <v>0</v>
      </c>
      <c r="F195" s="14">
        <v>0</v>
      </c>
      <c r="G195" s="14">
        <v>2146860</v>
      </c>
      <c r="H195" s="14">
        <f>SUM(D195:F195)-G195</f>
        <v>0</v>
      </c>
      <c r="I195" s="14">
        <f>((D195+E195)*C195)+(F195*(C195/2))</f>
        <v>0</v>
      </c>
      <c r="J195" s="14">
        <v>0</v>
      </c>
      <c r="K195" s="14">
        <f>H195-I195</f>
        <v>0</v>
      </c>
    </row>
    <row r="196" spans="4:11" ht="13.5" thickBot="1">
      <c r="D196" s="59">
        <f>SUM(D195:D195)</f>
        <v>2146860</v>
      </c>
      <c r="E196" s="59">
        <f aca="true" t="shared" si="37" ref="E196:K196">SUM(E195:E195)</f>
        <v>0</v>
      </c>
      <c r="F196" s="59">
        <f t="shared" si="37"/>
        <v>0</v>
      </c>
      <c r="G196" s="59">
        <f t="shared" si="37"/>
        <v>2146860</v>
      </c>
      <c r="H196" s="59">
        <f t="shared" si="37"/>
        <v>0</v>
      </c>
      <c r="I196" s="59">
        <f t="shared" si="37"/>
        <v>0</v>
      </c>
      <c r="J196" s="59">
        <f t="shared" si="37"/>
        <v>0</v>
      </c>
      <c r="K196" s="59">
        <f t="shared" si="37"/>
        <v>0</v>
      </c>
    </row>
    <row r="197" spans="4:11" ht="13.5" thickTop="1">
      <c r="D197" s="34"/>
      <c r="E197" s="34"/>
      <c r="F197" s="34"/>
      <c r="G197" s="34"/>
      <c r="H197" s="34"/>
      <c r="I197" s="34"/>
      <c r="J197" s="34"/>
      <c r="K197" s="34"/>
    </row>
    <row r="198" spans="3:11" ht="15">
      <c r="C198" s="19" t="s">
        <v>8</v>
      </c>
      <c r="D198" s="34">
        <f aca="true" t="shared" si="38" ref="D198:J198">D15+D22+D28+D33+D37+D43+D45+D49+D52+D56+D59+D66+D70+D73+D76+D87+D91+D96+D100+D106+D111+D114+D118+D121+D124+D130+D136+D142+D147+D150+D179+D186+D189+D193+D196+D183</f>
        <v>85962904.61000004</v>
      </c>
      <c r="E198" s="34">
        <f t="shared" si="38"/>
        <v>12994008.809999999</v>
      </c>
      <c r="F198" s="34">
        <f t="shared" si="38"/>
        <v>29210618.05</v>
      </c>
      <c r="G198" s="34">
        <f t="shared" si="38"/>
        <v>2185508.18</v>
      </c>
      <c r="H198" s="34">
        <f t="shared" si="38"/>
        <v>125982023.29</v>
      </c>
      <c r="I198" s="34">
        <f t="shared" si="38"/>
        <v>14636620.204239726</v>
      </c>
      <c r="J198" s="34">
        <f t="shared" si="38"/>
        <v>11719982.874000002</v>
      </c>
      <c r="K198" s="34">
        <f>K15+K22+K28+K33+K37+K43+K45+K49+K52+K56+K59+K66+K70+K73+K76+K87+K91+K96+K100+K106+K111+K114+K118+K121+K124+K130+K136+K142+K147+K150+K179+K186+K189+K193+K196+K183+0.04</f>
        <v>111345402.9977603</v>
      </c>
    </row>
    <row r="199" spans="4:11" ht="12.75">
      <c r="D199" s="34"/>
      <c r="E199" s="34"/>
      <c r="F199" s="34"/>
      <c r="G199" s="34"/>
      <c r="H199" s="34"/>
      <c r="I199" s="34"/>
      <c r="J199" s="34"/>
      <c r="K199" s="34"/>
    </row>
    <row r="200" spans="4:11" ht="12.75">
      <c r="D200" s="14"/>
      <c r="E200" s="14"/>
      <c r="F200" s="14"/>
      <c r="G200" s="14"/>
      <c r="H200" s="14"/>
      <c r="I200" s="14"/>
      <c r="J200" s="14"/>
      <c r="K200" s="14"/>
    </row>
    <row r="202" spans="4:11" ht="12.75">
      <c r="D202" s="34">
        <f>83816044.61+D196</f>
        <v>85962904.61</v>
      </c>
      <c r="E202" s="34">
        <v>20477138.810000002</v>
      </c>
      <c r="F202" s="34">
        <v>21727488.05</v>
      </c>
      <c r="G202" s="34">
        <f>38648.18+G196</f>
        <v>2185508.18</v>
      </c>
      <c r="H202" s="34">
        <v>125982023.29000002</v>
      </c>
      <c r="I202" s="34">
        <v>14636669.288239727</v>
      </c>
      <c r="J202" s="34">
        <v>11719982.873999998</v>
      </c>
      <c r="K202" s="34">
        <v>111345353.99576028</v>
      </c>
    </row>
    <row r="203" spans="4:11" ht="12.75">
      <c r="D203" s="14"/>
      <c r="E203" s="14"/>
      <c r="F203" s="14"/>
      <c r="G203" s="14"/>
      <c r="H203" s="14"/>
      <c r="I203" s="14"/>
      <c r="J203" s="14"/>
      <c r="K203" s="14"/>
    </row>
    <row r="204" spans="4:11" ht="12.75">
      <c r="D204" s="14"/>
      <c r="E204" s="14"/>
      <c r="F204" s="14"/>
      <c r="G204" s="14"/>
      <c r="H204" s="14"/>
      <c r="I204" s="14"/>
      <c r="J204" s="14"/>
      <c r="K204" s="14"/>
    </row>
    <row r="205" spans="4:11" ht="12.75">
      <c r="D205" s="14"/>
      <c r="E205" s="14"/>
      <c r="F205" s="14"/>
      <c r="G205" s="14"/>
      <c r="H205" s="14"/>
      <c r="I205" s="14"/>
      <c r="J205" s="14"/>
      <c r="K205" s="14"/>
    </row>
    <row r="206" spans="4:11" ht="12.75">
      <c r="D206" s="14"/>
      <c r="E206" s="14"/>
      <c r="F206" s="14"/>
      <c r="G206" s="14"/>
      <c r="H206" s="14"/>
      <c r="I206" s="14"/>
      <c r="J206" s="14"/>
      <c r="K206" s="14"/>
    </row>
    <row r="207" spans="4:11" ht="12.75">
      <c r="D207" s="14"/>
      <c r="E207" s="14"/>
      <c r="F207" s="14"/>
      <c r="G207" s="14"/>
      <c r="H207" s="14"/>
      <c r="I207" s="14"/>
      <c r="J207" s="14"/>
      <c r="K207" s="14"/>
    </row>
    <row r="208" spans="4:11" ht="12.75">
      <c r="D208" s="14"/>
      <c r="E208" s="14"/>
      <c r="F208" s="14"/>
      <c r="G208" s="14"/>
      <c r="H208" s="14"/>
      <c r="I208" s="14"/>
      <c r="J208" s="14"/>
      <c r="K208" s="14"/>
    </row>
    <row r="209" spans="4:11" ht="12.75">
      <c r="D209" s="14"/>
      <c r="E209" s="14"/>
      <c r="F209" s="14"/>
      <c r="G209" s="14"/>
      <c r="H209" s="14"/>
      <c r="I209" s="14"/>
      <c r="J209" s="14"/>
      <c r="K209" s="14"/>
    </row>
    <row r="210" spans="4:11" ht="12.75">
      <c r="D210" s="14"/>
      <c r="E210" s="14"/>
      <c r="F210" s="14"/>
      <c r="G210" s="14"/>
      <c r="H210" s="14"/>
      <c r="I210" s="14"/>
      <c r="J210" s="14"/>
      <c r="K210" s="14"/>
    </row>
    <row r="211" spans="4:11" ht="12.75">
      <c r="D211" s="14"/>
      <c r="E211" s="14"/>
      <c r="F211" s="14"/>
      <c r="G211" s="14"/>
      <c r="H211" s="14"/>
      <c r="I211" s="14"/>
      <c r="J211" s="14"/>
      <c r="K211" s="14"/>
    </row>
    <row r="212" spans="4:11" ht="12.75">
      <c r="D212" s="14"/>
      <c r="E212" s="14"/>
      <c r="F212" s="14"/>
      <c r="G212" s="14"/>
      <c r="H212" s="14"/>
      <c r="I212" s="14"/>
      <c r="J212" s="14"/>
      <c r="K212" s="14"/>
    </row>
    <row r="213" spans="4:11" ht="12.75">
      <c r="D213" s="14"/>
      <c r="E213" s="14"/>
      <c r="F213" s="14"/>
      <c r="G213" s="14"/>
      <c r="H213" s="14"/>
      <c r="I213" s="14"/>
      <c r="J213" s="14"/>
      <c r="K213" s="14"/>
    </row>
    <row r="214" spans="4:11" ht="12.75">
      <c r="D214" s="14"/>
      <c r="E214" s="14"/>
      <c r="F214" s="14"/>
      <c r="G214" s="14"/>
      <c r="H214" s="14"/>
      <c r="I214" s="14"/>
      <c r="J214" s="14"/>
      <c r="K214" s="14"/>
    </row>
    <row r="215" spans="4:11" ht="12.75">
      <c r="D215" s="14"/>
      <c r="E215" s="14"/>
      <c r="F215" s="14"/>
      <c r="G215" s="14"/>
      <c r="H215" s="14"/>
      <c r="I215" s="14"/>
      <c r="J215" s="14"/>
      <c r="K215" s="14"/>
    </row>
    <row r="216" spans="4:11" ht="12.75">
      <c r="D216" s="14"/>
      <c r="E216" s="14"/>
      <c r="F216" s="14"/>
      <c r="G216" s="14"/>
      <c r="H216" s="14"/>
      <c r="I216" s="14"/>
      <c r="J216" s="14"/>
      <c r="K216" s="14"/>
    </row>
    <row r="217" spans="4:11" ht="12.75">
      <c r="D217" s="14"/>
      <c r="E217" s="14"/>
      <c r="F217" s="14"/>
      <c r="G217" s="14"/>
      <c r="H217" s="14"/>
      <c r="I217" s="14"/>
      <c r="J217" s="14"/>
      <c r="K217" s="14"/>
    </row>
    <row r="218" spans="4:11" ht="12.75">
      <c r="D218" s="14"/>
      <c r="E218" s="14"/>
      <c r="F218" s="14"/>
      <c r="G218" s="14"/>
      <c r="H218" s="14"/>
      <c r="I218" s="14"/>
      <c r="J218" s="14"/>
      <c r="K218" s="14"/>
    </row>
    <row r="219" spans="4:11" ht="12.75">
      <c r="D219" s="14"/>
      <c r="E219" s="14"/>
      <c r="F219" s="14"/>
      <c r="G219" s="14"/>
      <c r="H219" s="14"/>
      <c r="I219" s="14"/>
      <c r="J219" s="14"/>
      <c r="K219" s="14"/>
    </row>
    <row r="220" spans="4:11" ht="12.75">
      <c r="D220" s="14"/>
      <c r="E220" s="14"/>
      <c r="F220" s="14"/>
      <c r="G220" s="14"/>
      <c r="H220" s="14"/>
      <c r="I220" s="14"/>
      <c r="J220" s="14"/>
      <c r="K220" s="14"/>
    </row>
    <row r="221" spans="4:11" ht="12.75">
      <c r="D221" s="14"/>
      <c r="E221" s="14"/>
      <c r="F221" s="14"/>
      <c r="G221" s="14"/>
      <c r="H221" s="14"/>
      <c r="I221" s="14"/>
      <c r="J221" s="14"/>
      <c r="K221" s="14"/>
    </row>
    <row r="222" spans="4:11" ht="12.75">
      <c r="D222" s="14"/>
      <c r="E222" s="14"/>
      <c r="F222" s="14"/>
      <c r="G222" s="14"/>
      <c r="H222" s="14"/>
      <c r="I222" s="14"/>
      <c r="J222" s="14"/>
      <c r="K222" s="14"/>
    </row>
    <row r="223" spans="4:11" ht="12.75">
      <c r="D223" s="14"/>
      <c r="E223" s="14"/>
      <c r="F223" s="14"/>
      <c r="G223" s="14"/>
      <c r="H223" s="14"/>
      <c r="I223" s="14"/>
      <c r="J223" s="14"/>
      <c r="K223" s="14"/>
    </row>
    <row r="224" spans="4:11" ht="12.75">
      <c r="D224" s="14"/>
      <c r="E224" s="14"/>
      <c r="F224" s="14"/>
      <c r="G224" s="14"/>
      <c r="H224" s="14"/>
      <c r="I224" s="14"/>
      <c r="J224" s="14"/>
      <c r="K224" s="14"/>
    </row>
    <row r="225" spans="4:11" ht="12.75">
      <c r="D225" s="14"/>
      <c r="E225" s="14"/>
      <c r="F225" s="14"/>
      <c r="G225" s="14"/>
      <c r="H225" s="14"/>
      <c r="I225" s="14"/>
      <c r="J225" s="14"/>
      <c r="K225" s="14"/>
    </row>
    <row r="226" spans="4:11" ht="12.75">
      <c r="D226" s="14"/>
      <c r="E226" s="14"/>
      <c r="F226" s="14"/>
      <c r="G226" s="14"/>
      <c r="H226" s="14"/>
      <c r="I226" s="14"/>
      <c r="J226" s="14"/>
      <c r="K226" s="14"/>
    </row>
    <row r="227" spans="4:11" ht="12.75">
      <c r="D227" s="14"/>
      <c r="E227" s="14"/>
      <c r="F227" s="14"/>
      <c r="G227" s="14"/>
      <c r="H227" s="14"/>
      <c r="I227" s="14"/>
      <c r="J227" s="14"/>
      <c r="K227" s="14"/>
    </row>
    <row r="228" spans="4:11" ht="12.75">
      <c r="D228" s="14"/>
      <c r="E228" s="14"/>
      <c r="F228" s="14"/>
      <c r="G228" s="14"/>
      <c r="H228" s="14"/>
      <c r="I228" s="14"/>
      <c r="J228" s="14"/>
      <c r="K228" s="14"/>
    </row>
    <row r="229" spans="4:11" ht="12.75">
      <c r="D229" s="14"/>
      <c r="E229" s="14"/>
      <c r="F229" s="14"/>
      <c r="G229" s="14"/>
      <c r="H229" s="14"/>
      <c r="I229" s="14"/>
      <c r="J229" s="14"/>
      <c r="K229" s="14"/>
    </row>
    <row r="230" spans="4:11" ht="12.75">
      <c r="D230" s="14"/>
      <c r="E230" s="14"/>
      <c r="F230" s="14"/>
      <c r="G230" s="14"/>
      <c r="H230" s="14"/>
      <c r="I230" s="14"/>
      <c r="J230" s="14"/>
      <c r="K230" s="14"/>
    </row>
    <row r="231" spans="4:11" ht="12.75">
      <c r="D231" s="14"/>
      <c r="E231" s="14"/>
      <c r="F231" s="14"/>
      <c r="G231" s="14"/>
      <c r="H231" s="14"/>
      <c r="I231" s="14"/>
      <c r="J231" s="14"/>
      <c r="K231" s="14"/>
    </row>
    <row r="232" spans="4:11" ht="12.75">
      <c r="D232" s="14"/>
      <c r="E232" s="14"/>
      <c r="F232" s="14"/>
      <c r="G232" s="14"/>
      <c r="H232" s="14"/>
      <c r="I232" s="14"/>
      <c r="J232" s="14"/>
      <c r="K232" s="14"/>
    </row>
    <row r="233" spans="4:11" ht="12.75">
      <c r="D233" s="14"/>
      <c r="E233" s="14"/>
      <c r="F233" s="14"/>
      <c r="G233" s="14"/>
      <c r="H233" s="14"/>
      <c r="I233" s="14"/>
      <c r="J233" s="14"/>
      <c r="K233" s="14"/>
    </row>
    <row r="234" spans="4:11" ht="12.75">
      <c r="D234" s="14"/>
      <c r="E234" s="14"/>
      <c r="F234" s="14"/>
      <c r="G234" s="14"/>
      <c r="H234" s="14"/>
      <c r="I234" s="14"/>
      <c r="J234" s="14"/>
      <c r="K234" s="14"/>
    </row>
    <row r="235" spans="4:11" ht="12.75">
      <c r="D235" s="14"/>
      <c r="E235" s="14"/>
      <c r="F235" s="14"/>
      <c r="G235" s="14"/>
      <c r="H235" s="14"/>
      <c r="I235" s="14"/>
      <c r="J235" s="14"/>
      <c r="K235" s="14"/>
    </row>
    <row r="236" spans="4:11" ht="12.75">
      <c r="D236" s="14"/>
      <c r="E236" s="14"/>
      <c r="F236" s="14"/>
      <c r="G236" s="14"/>
      <c r="H236" s="14"/>
      <c r="I236" s="14"/>
      <c r="J236" s="14"/>
      <c r="K236" s="14"/>
    </row>
    <row r="237" spans="4:11" ht="12.75">
      <c r="D237" s="14"/>
      <c r="E237" s="14"/>
      <c r="F237" s="14"/>
      <c r="G237" s="14"/>
      <c r="H237" s="14"/>
      <c r="I237" s="14"/>
      <c r="J237" s="14"/>
      <c r="K237" s="14"/>
    </row>
    <row r="238" spans="4:11" ht="12.75">
      <c r="D238" s="14"/>
      <c r="E238" s="14"/>
      <c r="F238" s="14"/>
      <c r="G238" s="14"/>
      <c r="H238" s="14"/>
      <c r="I238" s="14"/>
      <c r="J238" s="14"/>
      <c r="K238" s="14"/>
    </row>
    <row r="239" spans="4:11" ht="12.75">
      <c r="D239" s="14"/>
      <c r="E239" s="14"/>
      <c r="F239" s="14"/>
      <c r="G239" s="14"/>
      <c r="H239" s="14"/>
      <c r="I239" s="14"/>
      <c r="J239" s="14"/>
      <c r="K239" s="14"/>
    </row>
    <row r="240" spans="4:11" ht="12.75">
      <c r="D240" s="14"/>
      <c r="E240" s="14"/>
      <c r="F240" s="14"/>
      <c r="G240" s="14"/>
      <c r="H240" s="14"/>
      <c r="I240" s="14"/>
      <c r="J240" s="14"/>
      <c r="K240" s="14"/>
    </row>
    <row r="241" spans="4:11" ht="12.75">
      <c r="D241" s="14"/>
      <c r="E241" s="14"/>
      <c r="F241" s="14"/>
      <c r="G241" s="14"/>
      <c r="H241" s="14"/>
      <c r="I241" s="14"/>
      <c r="J241" s="14"/>
      <c r="K241" s="14"/>
    </row>
    <row r="242" spans="4:11" ht="12.75">
      <c r="D242" s="14"/>
      <c r="E242" s="14"/>
      <c r="F242" s="14"/>
      <c r="G242" s="14"/>
      <c r="H242" s="14"/>
      <c r="I242" s="14"/>
      <c r="J242" s="14"/>
      <c r="K242" s="14"/>
    </row>
    <row r="243" spans="4:11" ht="12.75">
      <c r="D243" s="14"/>
      <c r="E243" s="14"/>
      <c r="F243" s="14"/>
      <c r="G243" s="14"/>
      <c r="H243" s="14"/>
      <c r="I243" s="14"/>
      <c r="J243" s="14"/>
      <c r="K243" s="14"/>
    </row>
    <row r="244" spans="4:11" ht="12.75">
      <c r="D244" s="14"/>
      <c r="E244" s="14"/>
      <c r="F244" s="14"/>
      <c r="G244" s="14"/>
      <c r="H244" s="14"/>
      <c r="I244" s="14"/>
      <c r="J244" s="14"/>
      <c r="K244" s="14"/>
    </row>
    <row r="245" spans="4:11" ht="12.75">
      <c r="D245" s="14"/>
      <c r="E245" s="14"/>
      <c r="F245" s="14"/>
      <c r="G245" s="14"/>
      <c r="H245" s="14"/>
      <c r="I245" s="14"/>
      <c r="J245" s="14"/>
      <c r="K245" s="14"/>
    </row>
    <row r="246" spans="4:11" ht="12.75">
      <c r="D246" s="14"/>
      <c r="E246" s="14"/>
      <c r="F246" s="14"/>
      <c r="G246" s="14"/>
      <c r="H246" s="14"/>
      <c r="I246" s="14"/>
      <c r="J246" s="14"/>
      <c r="K246" s="14"/>
    </row>
    <row r="247" spans="4:11" ht="12.75">
      <c r="D247" s="14"/>
      <c r="E247" s="14"/>
      <c r="F247" s="14"/>
      <c r="G247" s="14"/>
      <c r="H247" s="14"/>
      <c r="I247" s="14"/>
      <c r="J247" s="14"/>
      <c r="K247" s="14"/>
    </row>
    <row r="248" spans="4:11" ht="12.75">
      <c r="D248" s="14"/>
      <c r="E248" s="14"/>
      <c r="F248" s="14"/>
      <c r="G248" s="14"/>
      <c r="H248" s="14"/>
      <c r="I248" s="14"/>
      <c r="J248" s="14"/>
      <c r="K248" s="14"/>
    </row>
    <row r="249" spans="4:11" ht="12.75">
      <c r="D249" s="14"/>
      <c r="E249" s="14"/>
      <c r="F249" s="14"/>
      <c r="G249" s="14"/>
      <c r="H249" s="14"/>
      <c r="I249" s="14"/>
      <c r="J249" s="14"/>
      <c r="K249" s="14"/>
    </row>
    <row r="250" spans="4:11" ht="12.75">
      <c r="D250" s="14"/>
      <c r="E250" s="14"/>
      <c r="F250" s="14"/>
      <c r="G250" s="14"/>
      <c r="H250" s="14"/>
      <c r="I250" s="14"/>
      <c r="J250" s="14"/>
      <c r="K250" s="14"/>
    </row>
    <row r="251" spans="4:11" ht="12.75">
      <c r="D251" s="14"/>
      <c r="E251" s="14"/>
      <c r="F251" s="14"/>
      <c r="G251" s="14"/>
      <c r="H251" s="14"/>
      <c r="I251" s="14"/>
      <c r="J251" s="14"/>
      <c r="K251" s="14"/>
    </row>
    <row r="252" spans="4:11" ht="12.75">
      <c r="D252" s="14"/>
      <c r="E252" s="14"/>
      <c r="F252" s="14"/>
      <c r="G252" s="14"/>
      <c r="H252" s="14"/>
      <c r="I252" s="14"/>
      <c r="J252" s="14"/>
      <c r="K252" s="14"/>
    </row>
    <row r="253" spans="4:11" ht="12.75">
      <c r="D253" s="14"/>
      <c r="E253" s="14"/>
      <c r="F253" s="14"/>
      <c r="G253" s="14"/>
      <c r="H253" s="14"/>
      <c r="I253" s="14"/>
      <c r="J253" s="14"/>
      <c r="K253" s="14"/>
    </row>
    <row r="254" spans="4:11" ht="12.75">
      <c r="D254" s="14"/>
      <c r="E254" s="14"/>
      <c r="F254" s="14"/>
      <c r="G254" s="14"/>
      <c r="H254" s="14"/>
      <c r="I254" s="14"/>
      <c r="J254" s="14"/>
      <c r="K254" s="14"/>
    </row>
    <row r="255" spans="4:11" ht="12.75">
      <c r="D255" s="14"/>
      <c r="E255" s="14"/>
      <c r="F255" s="14"/>
      <c r="G255" s="14"/>
      <c r="H255" s="14"/>
      <c r="I255" s="14"/>
      <c r="J255" s="14"/>
      <c r="K255" s="14"/>
    </row>
    <row r="256" spans="4:11" ht="12.75">
      <c r="D256" s="14"/>
      <c r="E256" s="14"/>
      <c r="F256" s="14"/>
      <c r="G256" s="14"/>
      <c r="H256" s="14"/>
      <c r="I256" s="14"/>
      <c r="J256" s="14"/>
      <c r="K256" s="14"/>
    </row>
    <row r="257" spans="4:11" ht="12.75">
      <c r="D257" s="14"/>
      <c r="E257" s="14"/>
      <c r="F257" s="14"/>
      <c r="G257" s="14"/>
      <c r="H257" s="14"/>
      <c r="I257" s="14"/>
      <c r="J257" s="14"/>
      <c r="K257" s="14"/>
    </row>
    <row r="258" spans="4:11" ht="12.75">
      <c r="D258" s="14"/>
      <c r="E258" s="14"/>
      <c r="F258" s="14"/>
      <c r="G258" s="14"/>
      <c r="H258" s="14"/>
      <c r="I258" s="14"/>
      <c r="J258" s="14"/>
      <c r="K258" s="14"/>
    </row>
    <row r="259" spans="4:11" ht="12.75">
      <c r="D259" s="14"/>
      <c r="E259" s="14"/>
      <c r="F259" s="14"/>
      <c r="G259" s="14"/>
      <c r="H259" s="14"/>
      <c r="I259" s="14"/>
      <c r="J259" s="14"/>
      <c r="K259" s="14"/>
    </row>
    <row r="260" spans="4:11" ht="12.75">
      <c r="D260" s="14"/>
      <c r="E260" s="14"/>
      <c r="F260" s="14"/>
      <c r="G260" s="14"/>
      <c r="H260" s="14"/>
      <c r="I260" s="14"/>
      <c r="J260" s="14"/>
      <c r="K260" s="14"/>
    </row>
    <row r="261" spans="4:11" ht="12.75">
      <c r="D261" s="14"/>
      <c r="E261" s="14"/>
      <c r="F261" s="14"/>
      <c r="G261" s="14"/>
      <c r="H261" s="14"/>
      <c r="I261" s="14"/>
      <c r="J261" s="14"/>
      <c r="K261" s="14"/>
    </row>
    <row r="262" spans="4:11" ht="12.75">
      <c r="D262" s="14"/>
      <c r="E262" s="14"/>
      <c r="F262" s="14"/>
      <c r="G262" s="14"/>
      <c r="H262" s="14"/>
      <c r="I262" s="14"/>
      <c r="J262" s="14"/>
      <c r="K262" s="14"/>
    </row>
    <row r="263" spans="4:11" ht="12.75">
      <c r="D263" s="14"/>
      <c r="E263" s="14"/>
      <c r="F263" s="14"/>
      <c r="G263" s="14"/>
      <c r="H263" s="14"/>
      <c r="I263" s="14"/>
      <c r="J263" s="14"/>
      <c r="K263" s="14"/>
    </row>
    <row r="264" spans="4:11" ht="12.75">
      <c r="D264" s="14"/>
      <c r="E264" s="14"/>
      <c r="F264" s="14"/>
      <c r="G264" s="14"/>
      <c r="H264" s="14"/>
      <c r="I264" s="14"/>
      <c r="J264" s="14"/>
      <c r="K264" s="14"/>
    </row>
    <row r="265" spans="4:11" ht="12.75">
      <c r="D265" s="14"/>
      <c r="E265" s="14"/>
      <c r="F265" s="14"/>
      <c r="G265" s="14"/>
      <c r="H265" s="14"/>
      <c r="I265" s="14"/>
      <c r="J265" s="14"/>
      <c r="K265" s="14"/>
    </row>
    <row r="266" spans="4:11" ht="12.75">
      <c r="D266" s="14"/>
      <c r="E266" s="14"/>
      <c r="F266" s="14"/>
      <c r="G266" s="14"/>
      <c r="H266" s="14"/>
      <c r="I266" s="14"/>
      <c r="J266" s="14"/>
      <c r="K266" s="14"/>
    </row>
    <row r="267" spans="4:11" ht="12.75">
      <c r="D267" s="14"/>
      <c r="E267" s="14"/>
      <c r="F267" s="14"/>
      <c r="G267" s="14"/>
      <c r="H267" s="14"/>
      <c r="I267" s="14"/>
      <c r="J267" s="14"/>
      <c r="K267" s="14"/>
    </row>
    <row r="268" spans="4:11" ht="12.75">
      <c r="D268" s="14"/>
      <c r="E268" s="14"/>
      <c r="F268" s="14"/>
      <c r="G268" s="14"/>
      <c r="H268" s="14"/>
      <c r="I268" s="14"/>
      <c r="J268" s="14"/>
      <c r="K268" s="14"/>
    </row>
    <row r="269" spans="4:11" ht="12.75">
      <c r="D269" s="14"/>
      <c r="E269" s="14"/>
      <c r="F269" s="14"/>
      <c r="G269" s="14"/>
      <c r="H269" s="14"/>
      <c r="I269" s="14"/>
      <c r="J269" s="14"/>
      <c r="K269" s="14"/>
    </row>
    <row r="270" spans="4:11" ht="12.75">
      <c r="D270" s="14"/>
      <c r="E270" s="14"/>
      <c r="F270" s="14"/>
      <c r="G270" s="14"/>
      <c r="H270" s="14"/>
      <c r="I270" s="14"/>
      <c r="J270" s="14"/>
      <c r="K270" s="14"/>
    </row>
    <row r="271" spans="4:11" ht="12.75">
      <c r="D271" s="14"/>
      <c r="E271" s="14"/>
      <c r="F271" s="14"/>
      <c r="G271" s="14"/>
      <c r="H271" s="14"/>
      <c r="I271" s="14"/>
      <c r="J271" s="14"/>
      <c r="K271" s="14"/>
    </row>
    <row r="272" spans="4:11" ht="12.75">
      <c r="D272" s="14"/>
      <c r="E272" s="14"/>
      <c r="F272" s="14"/>
      <c r="G272" s="14"/>
      <c r="H272" s="14"/>
      <c r="I272" s="14"/>
      <c r="J272" s="14"/>
      <c r="K272" s="14"/>
    </row>
    <row r="273" spans="4:11" ht="12.75">
      <c r="D273" s="14"/>
      <c r="E273" s="14"/>
      <c r="F273" s="14"/>
      <c r="G273" s="14"/>
      <c r="H273" s="14"/>
      <c r="I273" s="14"/>
      <c r="J273" s="14"/>
      <c r="K273" s="14"/>
    </row>
    <row r="274" spans="4:11" ht="12.75">
      <c r="D274" s="14"/>
      <c r="E274" s="14"/>
      <c r="F274" s="14"/>
      <c r="G274" s="14"/>
      <c r="H274" s="14"/>
      <c r="I274" s="14"/>
      <c r="J274" s="14"/>
      <c r="K274" s="14"/>
    </row>
    <row r="275" spans="4:11" ht="12.75">
      <c r="D275" s="14"/>
      <c r="E275" s="14"/>
      <c r="F275" s="14"/>
      <c r="G275" s="14"/>
      <c r="H275" s="14"/>
      <c r="I275" s="14"/>
      <c r="J275" s="14"/>
      <c r="K275" s="14"/>
    </row>
    <row r="276" spans="4:11" ht="12.75">
      <c r="D276" s="14"/>
      <c r="E276" s="14"/>
      <c r="F276" s="14"/>
      <c r="G276" s="14"/>
      <c r="H276" s="14"/>
      <c r="I276" s="14"/>
      <c r="J276" s="14"/>
      <c r="K276" s="14"/>
    </row>
    <row r="277" spans="4:11" ht="12.75">
      <c r="D277" s="14"/>
      <c r="E277" s="14"/>
      <c r="F277" s="14"/>
      <c r="G277" s="14"/>
      <c r="H277" s="14"/>
      <c r="I277" s="14"/>
      <c r="J277" s="14"/>
      <c r="K277" s="14"/>
    </row>
    <row r="278" spans="4:11" ht="12.75">
      <c r="D278" s="14"/>
      <c r="E278" s="14"/>
      <c r="F278" s="14"/>
      <c r="G278" s="14"/>
      <c r="H278" s="14"/>
      <c r="I278" s="14"/>
      <c r="J278" s="14"/>
      <c r="K278" s="14"/>
    </row>
    <row r="279" spans="4:11" ht="12.75">
      <c r="D279" s="14"/>
      <c r="E279" s="14"/>
      <c r="F279" s="14"/>
      <c r="G279" s="14"/>
      <c r="H279" s="14"/>
      <c r="I279" s="14"/>
      <c r="J279" s="14"/>
      <c r="K279" s="14"/>
    </row>
    <row r="280" spans="4:11" ht="12.75">
      <c r="D280" s="14"/>
      <c r="E280" s="14"/>
      <c r="F280" s="14"/>
      <c r="G280" s="14"/>
      <c r="H280" s="14"/>
      <c r="I280" s="14"/>
      <c r="J280" s="14"/>
      <c r="K280" s="14"/>
    </row>
    <row r="281" spans="4:11" ht="12.75">
      <c r="D281" s="14"/>
      <c r="E281" s="14"/>
      <c r="F281" s="14"/>
      <c r="G281" s="14"/>
      <c r="H281" s="14"/>
      <c r="I281" s="14"/>
      <c r="J281" s="14"/>
      <c r="K281" s="14"/>
    </row>
    <row r="282" spans="4:11" ht="12.75">
      <c r="D282" s="14"/>
      <c r="E282" s="14"/>
      <c r="F282" s="14"/>
      <c r="G282" s="14"/>
      <c r="H282" s="14"/>
      <c r="I282" s="14"/>
      <c r="J282" s="14"/>
      <c r="K282" s="14"/>
    </row>
    <row r="283" spans="4:11" ht="12.75">
      <c r="D283" s="14"/>
      <c r="E283" s="14"/>
      <c r="F283" s="14"/>
      <c r="G283" s="14"/>
      <c r="H283" s="14"/>
      <c r="I283" s="14"/>
      <c r="J283" s="14"/>
      <c r="K283" s="14"/>
    </row>
    <row r="284" spans="4:11" ht="12.75">
      <c r="D284" s="14"/>
      <c r="E284" s="14"/>
      <c r="F284" s="14"/>
      <c r="G284" s="14"/>
      <c r="H284" s="14"/>
      <c r="I284" s="14"/>
      <c r="J284" s="14"/>
      <c r="K284" s="14"/>
    </row>
  </sheetData>
  <sheetProtection password="DDD9" sheet="1" objects="1" scenarios="1"/>
  <mergeCells count="5">
    <mergeCell ref="E8:F8"/>
    <mergeCell ref="A1:K1"/>
    <mergeCell ref="A2:K2"/>
    <mergeCell ref="A3:K3"/>
    <mergeCell ref="D7:H7"/>
  </mergeCells>
  <printOptions/>
  <pageMargins left="0.25" right="0" top="0.5" bottom="0.5" header="0.5" footer="0.5"/>
  <pageSetup horizontalDpi="300" verticalDpi="300" orientation="landscape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5" customWidth="1"/>
    <col min="2" max="2" width="31.421875" style="5" customWidth="1"/>
    <col min="3" max="3" width="12.421875" style="5" customWidth="1"/>
    <col min="4" max="4" width="11.7109375" style="5" customWidth="1"/>
    <col min="5" max="5" width="11.57421875" style="5" customWidth="1"/>
    <col min="6" max="6" width="12.140625" style="5" customWidth="1"/>
    <col min="7" max="7" width="11.00390625" style="5" customWidth="1"/>
    <col min="8" max="8" width="13.140625" style="5" customWidth="1"/>
    <col min="9" max="9" width="12.28125" style="5" customWidth="1"/>
    <col min="10" max="10" width="12.57421875" style="5" customWidth="1"/>
    <col min="11" max="11" width="13.00390625" style="5" customWidth="1"/>
    <col min="12" max="15" width="9.140625" style="5" customWidth="1"/>
    <col min="16" max="16" width="16.7109375" style="5" bestFit="1" customWidth="1"/>
    <col min="17" max="16384" width="9.140625" style="5" customWidth="1"/>
  </cols>
  <sheetData>
    <row r="1" spans="1:11" ht="15.75">
      <c r="A1" s="152" t="s">
        <v>655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2.75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" ht="12.75">
      <c r="A5" s="1" t="s">
        <v>480</v>
      </c>
      <c r="B5" s="1" t="s">
        <v>657</v>
      </c>
    </row>
    <row r="7" spans="1:11" ht="12.75">
      <c r="A7" s="3" t="s">
        <v>482</v>
      </c>
      <c r="B7" s="14"/>
      <c r="C7" s="14"/>
      <c r="D7" s="14"/>
      <c r="E7" s="14"/>
      <c r="F7" s="14"/>
      <c r="G7" s="14"/>
      <c r="H7" s="14"/>
      <c r="I7" s="14"/>
      <c r="J7" s="3" t="s">
        <v>146</v>
      </c>
      <c r="K7" s="3" t="s">
        <v>485</v>
      </c>
    </row>
    <row r="8" spans="1:11" ht="12.75">
      <c r="A8" s="3" t="s">
        <v>486</v>
      </c>
      <c r="B8" s="3"/>
      <c r="C8" s="3" t="s">
        <v>487</v>
      </c>
      <c r="D8" s="3" t="s">
        <v>488</v>
      </c>
      <c r="E8" s="3" t="s">
        <v>489</v>
      </c>
      <c r="F8" s="3"/>
      <c r="G8" s="3" t="s">
        <v>490</v>
      </c>
      <c r="H8" s="3" t="s">
        <v>491</v>
      </c>
      <c r="I8" s="3" t="s">
        <v>492</v>
      </c>
      <c r="J8" s="3" t="s">
        <v>492</v>
      </c>
      <c r="K8" s="3" t="s">
        <v>493</v>
      </c>
    </row>
    <row r="9" spans="1:11" ht="12.75">
      <c r="A9" s="3"/>
      <c r="B9" s="3"/>
      <c r="C9" s="3"/>
      <c r="D9" s="3" t="s">
        <v>493</v>
      </c>
      <c r="E9" s="3" t="s">
        <v>494</v>
      </c>
      <c r="F9" s="3" t="s">
        <v>495</v>
      </c>
      <c r="G9" s="3"/>
      <c r="H9" s="3"/>
      <c r="I9" s="3" t="s">
        <v>496</v>
      </c>
      <c r="J9" s="3" t="s">
        <v>496</v>
      </c>
      <c r="K9" s="3" t="s">
        <v>497</v>
      </c>
    </row>
    <row r="10" spans="1:11" ht="12.75">
      <c r="A10" s="3"/>
      <c r="B10" s="3"/>
      <c r="C10" s="3"/>
      <c r="D10" s="3" t="s">
        <v>498</v>
      </c>
      <c r="E10" s="3" t="s">
        <v>499</v>
      </c>
      <c r="F10" s="3" t="s">
        <v>499</v>
      </c>
      <c r="G10" s="3"/>
      <c r="H10" s="3"/>
      <c r="I10" s="3" t="s">
        <v>204</v>
      </c>
      <c r="J10" s="3" t="s">
        <v>203</v>
      </c>
      <c r="K10" s="3"/>
    </row>
    <row r="11" ht="12.75">
      <c r="B11" s="1" t="s">
        <v>77</v>
      </c>
    </row>
    <row r="13" spans="1:11" ht="12.75">
      <c r="A13" s="55">
        <v>1</v>
      </c>
      <c r="B13" s="5" t="s">
        <v>501</v>
      </c>
      <c r="C13" s="56">
        <v>0.1</v>
      </c>
      <c r="D13" s="14">
        <v>9664556.61</v>
      </c>
      <c r="E13" s="14">
        <f>3600+25099+241069+262362+5104+300+5804+711+49000+693</f>
        <v>593742</v>
      </c>
      <c r="F13" s="14">
        <v>0</v>
      </c>
      <c r="G13" s="14">
        <v>0</v>
      </c>
      <c r="H13" s="14">
        <f aca="true" t="shared" si="0" ref="H13:H46">SUM(D13:F13)-G13</f>
        <v>10258298.61</v>
      </c>
      <c r="I13" s="14">
        <f>((D13+E13)*C13)+(F13*(C13/2))+0.01-0.26</f>
        <v>1025829.611</v>
      </c>
      <c r="J13" s="14">
        <v>1073839.62</v>
      </c>
      <c r="K13" s="14">
        <f aca="true" t="shared" si="1" ref="K13:K21">H13-I13</f>
        <v>9232468.999</v>
      </c>
    </row>
    <row r="14" spans="1:11" ht="12.75">
      <c r="A14" s="55">
        <f aca="true" t="shared" si="2" ref="A14:A46">A13+1</f>
        <v>2</v>
      </c>
      <c r="B14" s="5" t="s">
        <v>502</v>
      </c>
      <c r="C14" s="56">
        <v>0.25</v>
      </c>
      <c r="D14" s="14">
        <v>467860.75</v>
      </c>
      <c r="E14" s="14">
        <v>0</v>
      </c>
      <c r="F14" s="14">
        <v>0</v>
      </c>
      <c r="G14" s="14">
        <v>0</v>
      </c>
      <c r="H14" s="14">
        <f t="shared" si="0"/>
        <v>467860.75</v>
      </c>
      <c r="I14" s="14">
        <f>((D14+E14)*C14)+(F14*(C14/2))-0.44</f>
        <v>116964.7475</v>
      </c>
      <c r="J14" s="14">
        <v>66837.25</v>
      </c>
      <c r="K14" s="14">
        <f t="shared" si="1"/>
        <v>350896.0025</v>
      </c>
    </row>
    <row r="15" spans="1:11" ht="12.75">
      <c r="A15" s="55">
        <f t="shared" si="2"/>
        <v>3</v>
      </c>
      <c r="B15" s="5" t="s">
        <v>503</v>
      </c>
      <c r="C15" s="56">
        <v>0.6</v>
      </c>
      <c r="D15" s="14">
        <v>1605253.13</v>
      </c>
      <c r="E15" s="14">
        <v>18800</v>
      </c>
      <c r="F15" s="14">
        <f>1575+855783+13282.5+2800+37800+9800</f>
        <v>921040.5</v>
      </c>
      <c r="G15" s="14">
        <v>0</v>
      </c>
      <c r="H15" s="14">
        <f t="shared" si="0"/>
        <v>2545093.63</v>
      </c>
      <c r="I15" s="14">
        <f>((D15+E15)*C15)+(F15*(C15/2))-0.4</f>
        <v>1250743.628</v>
      </c>
      <c r="J15" s="14">
        <v>1094751.19</v>
      </c>
      <c r="K15" s="14">
        <f t="shared" si="1"/>
        <v>1294350.0019999999</v>
      </c>
    </row>
    <row r="16" spans="1:11" ht="12.75">
      <c r="A16" s="55">
        <f t="shared" si="2"/>
        <v>4</v>
      </c>
      <c r="B16" s="5" t="s">
        <v>504</v>
      </c>
      <c r="C16" s="56">
        <v>0.25</v>
      </c>
      <c r="D16" s="14">
        <v>88567.31</v>
      </c>
      <c r="E16" s="14">
        <v>0</v>
      </c>
      <c r="F16" s="14">
        <v>0</v>
      </c>
      <c r="G16" s="14">
        <v>0</v>
      </c>
      <c r="H16" s="14">
        <f t="shared" si="0"/>
        <v>88567.31</v>
      </c>
      <c r="I16" s="14">
        <f>((D16+E16)*C16)+(F16*(C16/2))+0.48</f>
        <v>22142.3075</v>
      </c>
      <c r="J16" s="14">
        <v>29522.43</v>
      </c>
      <c r="K16" s="14">
        <f t="shared" si="1"/>
        <v>66425.0025</v>
      </c>
    </row>
    <row r="17" spans="1:11" ht="12.75">
      <c r="A17" s="55">
        <f t="shared" si="2"/>
        <v>5</v>
      </c>
      <c r="B17" s="5" t="s">
        <v>505</v>
      </c>
      <c r="C17" s="56">
        <v>0.25</v>
      </c>
      <c r="D17" s="14">
        <v>0</v>
      </c>
      <c r="E17" s="14">
        <v>37382</v>
      </c>
      <c r="F17" s="14">
        <v>0</v>
      </c>
      <c r="G17" s="14">
        <v>0</v>
      </c>
      <c r="H17" s="14">
        <f t="shared" si="0"/>
        <v>37382</v>
      </c>
      <c r="I17" s="14">
        <f>((D17+E17)*C17)+(F17*(C17/2))+0.5</f>
        <v>9346</v>
      </c>
      <c r="J17" s="14">
        <v>0</v>
      </c>
      <c r="K17" s="14">
        <f t="shared" si="1"/>
        <v>28036</v>
      </c>
    </row>
    <row r="18" spans="1:11" ht="12.75">
      <c r="A18" s="55">
        <f t="shared" si="2"/>
        <v>6</v>
      </c>
      <c r="B18" s="5" t="s">
        <v>506</v>
      </c>
      <c r="C18" s="56">
        <v>0.25</v>
      </c>
      <c r="D18" s="14">
        <v>15662.61</v>
      </c>
      <c r="E18" s="14">
        <v>0</v>
      </c>
      <c r="F18" s="14">
        <v>0</v>
      </c>
      <c r="G18" s="14">
        <v>0</v>
      </c>
      <c r="H18" s="14">
        <f t="shared" si="0"/>
        <v>15662.61</v>
      </c>
      <c r="I18" s="14">
        <f>((D18+E18)*C18)+(F18*(C18/2))+0.01-0.05</f>
        <v>3915.6125</v>
      </c>
      <c r="J18" s="14">
        <v>5220.87</v>
      </c>
      <c r="K18" s="14">
        <f t="shared" si="1"/>
        <v>11746.997500000001</v>
      </c>
    </row>
    <row r="19" spans="1:11" ht="12.75">
      <c r="A19" s="55">
        <f t="shared" si="2"/>
        <v>7</v>
      </c>
      <c r="B19" s="5" t="s">
        <v>507</v>
      </c>
      <c r="C19" s="56">
        <v>0.25</v>
      </c>
      <c r="D19" s="14">
        <v>32927.36</v>
      </c>
      <c r="E19" s="14">
        <v>0</v>
      </c>
      <c r="F19" s="14">
        <v>0</v>
      </c>
      <c r="G19" s="14">
        <v>0</v>
      </c>
      <c r="H19" s="14">
        <f t="shared" si="0"/>
        <v>32927.36</v>
      </c>
      <c r="I19" s="14">
        <f>((D19+E19)*C19)+(F19*(C19/2))-0.48</f>
        <v>8231.36</v>
      </c>
      <c r="J19" s="14">
        <v>10975.78</v>
      </c>
      <c r="K19" s="14">
        <f t="shared" si="1"/>
        <v>24696</v>
      </c>
    </row>
    <row r="20" spans="1:11" ht="12.75">
      <c r="A20" s="55">
        <f t="shared" si="2"/>
        <v>8</v>
      </c>
      <c r="B20" s="5" t="s">
        <v>508</v>
      </c>
      <c r="C20" s="56">
        <v>0.15</v>
      </c>
      <c r="D20" s="14">
        <v>1175864.47</v>
      </c>
      <c r="E20" s="14">
        <v>13946</v>
      </c>
      <c r="F20" s="14">
        <v>0</v>
      </c>
      <c r="G20" s="14">
        <v>0</v>
      </c>
      <c r="H20" s="14">
        <f t="shared" si="0"/>
        <v>1189810.47</v>
      </c>
      <c r="I20" s="14">
        <f>((D20+E20)*C20)+(F20*(C20/2))-0.1</f>
        <v>178471.4705</v>
      </c>
      <c r="J20" s="14">
        <v>189753.97</v>
      </c>
      <c r="K20" s="14">
        <f t="shared" si="1"/>
        <v>1011338.9994999999</v>
      </c>
    </row>
    <row r="21" spans="1:11" ht="12.75">
      <c r="A21" s="55">
        <f t="shared" si="2"/>
        <v>9</v>
      </c>
      <c r="B21" s="5" t="s">
        <v>509</v>
      </c>
      <c r="C21" s="56">
        <v>0.25</v>
      </c>
      <c r="D21" s="14">
        <v>22693.91</v>
      </c>
      <c r="E21" s="14">
        <v>0</v>
      </c>
      <c r="F21" s="14">
        <v>8000</v>
      </c>
      <c r="G21" s="14">
        <v>0</v>
      </c>
      <c r="H21" s="14">
        <f t="shared" si="0"/>
        <v>30693.91</v>
      </c>
      <c r="I21" s="14">
        <f>((D21+E21)*C21)+(F21*(C21/2))+0.43</f>
        <v>6673.9075</v>
      </c>
      <c r="J21" s="14">
        <v>3564.64</v>
      </c>
      <c r="K21" s="14">
        <f t="shared" si="1"/>
        <v>24020.0025</v>
      </c>
    </row>
    <row r="22" spans="1:11" ht="12.75">
      <c r="A22" s="55">
        <f t="shared" si="2"/>
        <v>10</v>
      </c>
      <c r="B22" s="5" t="s">
        <v>510</v>
      </c>
      <c r="C22" s="56">
        <v>0.25</v>
      </c>
      <c r="D22" s="14">
        <v>16175.06</v>
      </c>
      <c r="E22" s="14">
        <v>7460</v>
      </c>
      <c r="F22" s="14">
        <v>0</v>
      </c>
      <c r="G22" s="14">
        <v>0</v>
      </c>
      <c r="H22" s="14">
        <f t="shared" si="0"/>
        <v>23635.059999999998</v>
      </c>
      <c r="I22" s="14">
        <f>((D22+E22)*C22)+(F22*(C22/2))+0.29</f>
        <v>5909.054999999999</v>
      </c>
      <c r="J22" s="14">
        <v>5391.69</v>
      </c>
      <c r="K22" s="14">
        <f>H22-I22-0.01</f>
        <v>17725.995</v>
      </c>
    </row>
    <row r="23" spans="1:11" ht="12.75">
      <c r="A23" s="55">
        <f t="shared" si="2"/>
        <v>11</v>
      </c>
      <c r="B23" s="5" t="s">
        <v>511</v>
      </c>
      <c r="C23" s="56">
        <v>0.25</v>
      </c>
      <c r="D23" s="14">
        <v>5690.56</v>
      </c>
      <c r="E23" s="14">
        <v>0</v>
      </c>
      <c r="F23" s="14">
        <v>0</v>
      </c>
      <c r="G23" s="14">
        <v>0</v>
      </c>
      <c r="H23" s="14">
        <f t="shared" si="0"/>
        <v>5690.56</v>
      </c>
      <c r="I23" s="14">
        <f>((D23+E23)*C23)+(F23*(C23/2))-0.08</f>
        <v>1422.5600000000002</v>
      </c>
      <c r="J23" s="14">
        <v>1896.86</v>
      </c>
      <c r="K23" s="14">
        <f>H23-I23</f>
        <v>4268</v>
      </c>
    </row>
    <row r="24" spans="1:11" ht="12.75">
      <c r="A24" s="55">
        <f t="shared" si="2"/>
        <v>12</v>
      </c>
      <c r="B24" s="5" t="s">
        <v>512</v>
      </c>
      <c r="C24" s="56">
        <v>0</v>
      </c>
      <c r="D24" s="14">
        <v>3004066.65</v>
      </c>
      <c r="E24" s="14">
        <v>0</v>
      </c>
      <c r="F24" s="14">
        <v>8077997.55</v>
      </c>
      <c r="G24" s="14">
        <v>0.2</v>
      </c>
      <c r="H24" s="14">
        <f t="shared" si="0"/>
        <v>11082064</v>
      </c>
      <c r="I24" s="14">
        <f>((D24+E24)*C24)+(F24*(C24/2))</f>
        <v>0</v>
      </c>
      <c r="J24" s="14">
        <v>0</v>
      </c>
      <c r="K24" s="14">
        <f>H24-I24</f>
        <v>11082064</v>
      </c>
    </row>
    <row r="25" spans="1:11" ht="12.75">
      <c r="A25" s="55">
        <f t="shared" si="2"/>
        <v>13</v>
      </c>
      <c r="B25" s="5" t="s">
        <v>513</v>
      </c>
      <c r="C25" s="56">
        <v>0.25</v>
      </c>
      <c r="D25" s="14">
        <v>125205.28</v>
      </c>
      <c r="E25" s="14">
        <f>30+712.5+240+4919+975+1450+349+300-100</f>
        <v>8875.5</v>
      </c>
      <c r="F25" s="14">
        <f>218+77+1225+750+114+170+14147+390</f>
        <v>17091</v>
      </c>
      <c r="G25" s="14">
        <v>0</v>
      </c>
      <c r="H25" s="14">
        <f t="shared" si="0"/>
        <v>151171.78</v>
      </c>
      <c r="I25" s="14">
        <f>((D25+E25)*C25)+(F25*(C25/2))+0.01+0.2</f>
        <v>35656.78</v>
      </c>
      <c r="J25" s="14">
        <v>39361.76</v>
      </c>
      <c r="K25" s="14">
        <f>H25-I25</f>
        <v>115515</v>
      </c>
    </row>
    <row r="26" spans="1:11" ht="12.75">
      <c r="A26" s="55">
        <f t="shared" si="2"/>
        <v>14</v>
      </c>
      <c r="B26" s="5" t="s">
        <v>514</v>
      </c>
      <c r="C26" s="56">
        <v>0.25</v>
      </c>
      <c r="D26" s="14">
        <v>13024.58</v>
      </c>
      <c r="E26" s="14">
        <v>3250</v>
      </c>
      <c r="F26" s="14">
        <v>1800</v>
      </c>
      <c r="G26" s="14">
        <v>0</v>
      </c>
      <c r="H26" s="14">
        <f t="shared" si="0"/>
        <v>18074.58</v>
      </c>
      <c r="I26" s="14">
        <f>((D26+E26)*C26)+(F26*(C26/2))-0.07</f>
        <v>4293.575000000001</v>
      </c>
      <c r="J26" s="14">
        <v>3258.2</v>
      </c>
      <c r="K26" s="14">
        <f>H26-I26-0.01</f>
        <v>13780.995</v>
      </c>
    </row>
    <row r="27" spans="1:11" ht="12.75">
      <c r="A27" s="55">
        <f t="shared" si="2"/>
        <v>15</v>
      </c>
      <c r="B27" s="5" t="s">
        <v>515</v>
      </c>
      <c r="C27" s="56">
        <v>0.25</v>
      </c>
      <c r="D27" s="14">
        <v>114468.2</v>
      </c>
      <c r="E27" s="14">
        <v>5850</v>
      </c>
      <c r="F27" s="14">
        <f>3987+7950+448+10000</f>
        <v>22385</v>
      </c>
      <c r="G27" s="14">
        <v>0</v>
      </c>
      <c r="H27" s="14">
        <f t="shared" si="0"/>
        <v>142703.2</v>
      </c>
      <c r="I27" s="14">
        <f>((D27+E27)*C27)+(F27*(C27/2))-0.48</f>
        <v>32877.195</v>
      </c>
      <c r="J27" s="14">
        <v>33127.58</v>
      </c>
      <c r="K27" s="14">
        <f>H27-I27-0.01</f>
        <v>109825.99500000001</v>
      </c>
    </row>
    <row r="28" spans="1:11" ht="12.75">
      <c r="A28" s="55">
        <f t="shared" si="2"/>
        <v>16</v>
      </c>
      <c r="B28" s="5" t="s">
        <v>516</v>
      </c>
      <c r="C28" s="56">
        <v>0.25</v>
      </c>
      <c r="D28" s="14">
        <v>568319.92</v>
      </c>
      <c r="E28" s="14">
        <f>10757.31+2600</f>
        <v>13357.31</v>
      </c>
      <c r="F28" s="14">
        <f>29040+151605</f>
        <v>180645</v>
      </c>
      <c r="G28" s="14">
        <v>0</v>
      </c>
      <c r="H28" s="14">
        <f t="shared" si="0"/>
        <v>762322.2300000001</v>
      </c>
      <c r="I28" s="14">
        <f>((D28+E28)*C28)+(F28*(C28/2))+0.01+0.29</f>
        <v>168000.23250000004</v>
      </c>
      <c r="J28" s="14">
        <v>131053.96</v>
      </c>
      <c r="K28" s="14">
        <f aca="true" t="shared" si="3" ref="K28:K45">H28-I28</f>
        <v>594321.9975</v>
      </c>
    </row>
    <row r="29" spans="1:11" ht="12.75">
      <c r="A29" s="55">
        <f t="shared" si="2"/>
        <v>17</v>
      </c>
      <c r="B29" s="5" t="s">
        <v>517</v>
      </c>
      <c r="C29" s="56">
        <v>0.25</v>
      </c>
      <c r="D29" s="14">
        <v>15049.27</v>
      </c>
      <c r="E29" s="14">
        <v>0</v>
      </c>
      <c r="F29" s="14">
        <v>0</v>
      </c>
      <c r="G29" s="14">
        <v>0</v>
      </c>
      <c r="H29" s="14">
        <f t="shared" si="0"/>
        <v>15049.27</v>
      </c>
      <c r="I29" s="14">
        <f>((D29+E29)*C29)+(F29*(C29/2))-0.05</f>
        <v>3762.2675</v>
      </c>
      <c r="J29" s="14">
        <v>5016.42</v>
      </c>
      <c r="K29" s="14">
        <f t="shared" si="3"/>
        <v>11287.0025</v>
      </c>
    </row>
    <row r="30" spans="1:11" ht="12.75">
      <c r="A30" s="55">
        <f t="shared" si="2"/>
        <v>18</v>
      </c>
      <c r="B30" s="5" t="s">
        <v>518</v>
      </c>
      <c r="C30" s="56">
        <v>0.25</v>
      </c>
      <c r="D30" s="14">
        <v>105744.37</v>
      </c>
      <c r="E30" s="14">
        <v>0</v>
      </c>
      <c r="F30" s="14">
        <v>0</v>
      </c>
      <c r="G30" s="14">
        <v>0</v>
      </c>
      <c r="H30" s="14">
        <f t="shared" si="0"/>
        <v>105744.37</v>
      </c>
      <c r="I30" s="14">
        <f>((D30+E30)*C30)+(F30*(C30/2))+0.01+0.27</f>
        <v>26436.372499999998</v>
      </c>
      <c r="J30" s="14">
        <v>35248.13</v>
      </c>
      <c r="K30" s="14">
        <f t="shared" si="3"/>
        <v>79307.9975</v>
      </c>
    </row>
    <row r="31" spans="1:11" ht="12.75">
      <c r="A31" s="55">
        <f t="shared" si="2"/>
        <v>19</v>
      </c>
      <c r="B31" s="5" t="s">
        <v>615</v>
      </c>
      <c r="C31" s="56">
        <v>0.25</v>
      </c>
      <c r="D31" s="14">
        <v>36007.93</v>
      </c>
      <c r="E31" s="14">
        <v>0</v>
      </c>
      <c r="F31" s="14">
        <v>0</v>
      </c>
      <c r="G31" s="14">
        <v>0</v>
      </c>
      <c r="H31" s="14">
        <f t="shared" si="0"/>
        <v>36007.93</v>
      </c>
      <c r="I31" s="14">
        <f>((D31+E31)*C31)+(F31*(C31/2))+0.01-0.06</f>
        <v>9001.9325</v>
      </c>
      <c r="J31" s="14">
        <v>12002.64</v>
      </c>
      <c r="K31" s="14">
        <f t="shared" si="3"/>
        <v>27005.997499999998</v>
      </c>
    </row>
    <row r="32" spans="1:11" ht="12.75">
      <c r="A32" s="55">
        <f t="shared" si="2"/>
        <v>20</v>
      </c>
      <c r="B32" s="5" t="s">
        <v>519</v>
      </c>
      <c r="C32" s="56">
        <v>0.2</v>
      </c>
      <c r="D32" s="14">
        <v>698099.04</v>
      </c>
      <c r="E32" s="14">
        <v>0</v>
      </c>
      <c r="F32" s="14">
        <v>0</v>
      </c>
      <c r="G32" s="14">
        <v>0</v>
      </c>
      <c r="H32" s="14">
        <f t="shared" si="0"/>
        <v>698099.04</v>
      </c>
      <c r="I32" s="14">
        <f>((D32+E32)*C32)+(F32*(C32/2))+0.23</f>
        <v>139620.03800000003</v>
      </c>
      <c r="J32" s="14">
        <v>174524.76</v>
      </c>
      <c r="K32" s="14">
        <f t="shared" si="3"/>
        <v>558479.002</v>
      </c>
    </row>
    <row r="33" spans="1:11" ht="12.75">
      <c r="A33" s="55">
        <f t="shared" si="2"/>
        <v>21</v>
      </c>
      <c r="B33" s="5" t="s">
        <v>520</v>
      </c>
      <c r="C33" s="56">
        <v>0.2</v>
      </c>
      <c r="D33" s="14">
        <v>698099.04</v>
      </c>
      <c r="E33" s="14">
        <v>0</v>
      </c>
      <c r="F33" s="14">
        <v>0</v>
      </c>
      <c r="G33" s="14">
        <v>0</v>
      </c>
      <c r="H33" s="14">
        <f t="shared" si="0"/>
        <v>698099.04</v>
      </c>
      <c r="I33" s="14">
        <f>((D33+E33)*C33)+(F33*(C33/2))+0.23</f>
        <v>139620.03800000003</v>
      </c>
      <c r="J33" s="14">
        <v>174524.76</v>
      </c>
      <c r="K33" s="14">
        <f t="shared" si="3"/>
        <v>558479.002</v>
      </c>
    </row>
    <row r="34" spans="1:11" ht="12.75">
      <c r="A34" s="55">
        <f t="shared" si="2"/>
        <v>22</v>
      </c>
      <c r="B34" s="5" t="s">
        <v>521</v>
      </c>
      <c r="C34" s="56">
        <v>0.2</v>
      </c>
      <c r="D34" s="14">
        <v>698099.04</v>
      </c>
      <c r="E34" s="14">
        <v>0</v>
      </c>
      <c r="F34" s="14">
        <v>0</v>
      </c>
      <c r="G34" s="14">
        <v>0</v>
      </c>
      <c r="H34" s="14">
        <f t="shared" si="0"/>
        <v>698099.04</v>
      </c>
      <c r="I34" s="14">
        <f>((D34+E34)*C34)+(F34*(C34/2))+0.23</f>
        <v>139620.03800000003</v>
      </c>
      <c r="J34" s="14">
        <v>174524.76</v>
      </c>
      <c r="K34" s="14">
        <f t="shared" si="3"/>
        <v>558479.002</v>
      </c>
    </row>
    <row r="35" spans="1:11" ht="12.75">
      <c r="A35" s="55">
        <f t="shared" si="2"/>
        <v>23</v>
      </c>
      <c r="B35" s="5" t="s">
        <v>522</v>
      </c>
      <c r="C35" s="56">
        <v>0.2</v>
      </c>
      <c r="D35" s="14">
        <v>0</v>
      </c>
      <c r="E35" s="14">
        <f>715620+328640</f>
        <v>1044260</v>
      </c>
      <c r="F35" s="14">
        <v>0</v>
      </c>
      <c r="G35" s="14">
        <v>0</v>
      </c>
      <c r="H35" s="14">
        <f t="shared" si="0"/>
        <v>1044260</v>
      </c>
      <c r="I35" s="14">
        <f>((D35+E35)*C35)+(F35*(C35/2))</f>
        <v>208852</v>
      </c>
      <c r="J35" s="14">
        <v>0</v>
      </c>
      <c r="K35" s="14">
        <f t="shared" si="3"/>
        <v>835408</v>
      </c>
    </row>
    <row r="36" spans="1:11" ht="12.75">
      <c r="A36" s="55">
        <f t="shared" si="2"/>
        <v>24</v>
      </c>
      <c r="B36" s="5" t="s">
        <v>523</v>
      </c>
      <c r="C36" s="56">
        <v>0.2</v>
      </c>
      <c r="D36" s="14">
        <v>0</v>
      </c>
      <c r="E36" s="14">
        <f>715620+328640</f>
        <v>1044260</v>
      </c>
      <c r="F36" s="14">
        <v>0</v>
      </c>
      <c r="G36" s="14">
        <v>0</v>
      </c>
      <c r="H36" s="14">
        <f t="shared" si="0"/>
        <v>1044260</v>
      </c>
      <c r="I36" s="14">
        <f>((D36+E36)*C36)+(F36*(C36/2))</f>
        <v>208852</v>
      </c>
      <c r="J36" s="14">
        <v>0</v>
      </c>
      <c r="K36" s="14">
        <f t="shared" si="3"/>
        <v>835408</v>
      </c>
    </row>
    <row r="37" spans="1:11" ht="12.75">
      <c r="A37" s="55">
        <f t="shared" si="2"/>
        <v>25</v>
      </c>
      <c r="B37" s="5" t="s">
        <v>524</v>
      </c>
      <c r="C37" s="56">
        <v>0.2</v>
      </c>
      <c r="D37" s="14">
        <v>0</v>
      </c>
      <c r="E37" s="14">
        <f>715620+328640</f>
        <v>1044260</v>
      </c>
      <c r="F37" s="14">
        <v>0</v>
      </c>
      <c r="G37" s="14">
        <v>0</v>
      </c>
      <c r="H37" s="14">
        <f t="shared" si="0"/>
        <v>1044260</v>
      </c>
      <c r="I37" s="14">
        <f>((D37+E37)*C37)+(F37*(C37/2))</f>
        <v>208852</v>
      </c>
      <c r="J37" s="14">
        <v>0</v>
      </c>
      <c r="K37" s="14">
        <f t="shared" si="3"/>
        <v>835408</v>
      </c>
    </row>
    <row r="38" spans="1:11" ht="12.75">
      <c r="A38" s="55">
        <f t="shared" si="2"/>
        <v>26</v>
      </c>
      <c r="B38" s="5" t="s">
        <v>525</v>
      </c>
      <c r="C38" s="56">
        <v>0.2</v>
      </c>
      <c r="D38" s="14">
        <v>410411.52</v>
      </c>
      <c r="E38" s="14">
        <v>0</v>
      </c>
      <c r="F38" s="14">
        <v>0</v>
      </c>
      <c r="G38" s="14">
        <v>0</v>
      </c>
      <c r="H38" s="14">
        <f t="shared" si="0"/>
        <v>410411.52</v>
      </c>
      <c r="I38" s="14">
        <f>((D38+E38)*C38)+(F38*(C38/2))+0.01+0.21</f>
        <v>82082.524</v>
      </c>
      <c r="J38" s="14">
        <v>102602.88</v>
      </c>
      <c r="K38" s="14">
        <f t="shared" si="3"/>
        <v>328328.99600000004</v>
      </c>
    </row>
    <row r="39" spans="1:11" ht="12.75">
      <c r="A39" s="55">
        <f t="shared" si="2"/>
        <v>27</v>
      </c>
      <c r="B39" s="5" t="s">
        <v>526</v>
      </c>
      <c r="C39" s="56">
        <v>0.2</v>
      </c>
      <c r="D39" s="14">
        <v>344291.6</v>
      </c>
      <c r="E39" s="14">
        <v>0</v>
      </c>
      <c r="F39" s="14">
        <v>0</v>
      </c>
      <c r="G39" s="14">
        <v>0</v>
      </c>
      <c r="H39" s="14">
        <f t="shared" si="0"/>
        <v>344291.6</v>
      </c>
      <c r="I39" s="14">
        <f>((D39+E39)*C39)+(F39*(C39/2))+0.28</f>
        <v>68858.59999999999</v>
      </c>
      <c r="J39" s="14">
        <v>86072.9</v>
      </c>
      <c r="K39" s="14">
        <f t="shared" si="3"/>
        <v>275433</v>
      </c>
    </row>
    <row r="40" spans="1:11" ht="12.75">
      <c r="A40" s="55">
        <f t="shared" si="2"/>
        <v>28</v>
      </c>
      <c r="B40" s="5" t="s">
        <v>527</v>
      </c>
      <c r="C40" s="56">
        <v>0.2</v>
      </c>
      <c r="D40" s="14">
        <v>14134.8</v>
      </c>
      <c r="E40" s="14">
        <v>0</v>
      </c>
      <c r="F40" s="14">
        <v>0</v>
      </c>
      <c r="G40" s="14">
        <v>0</v>
      </c>
      <c r="H40" s="14">
        <f t="shared" si="0"/>
        <v>14134.8</v>
      </c>
      <c r="I40" s="14">
        <f>((D40+E40)*C40)+(F40*(C40/2))-0.16</f>
        <v>2826.8</v>
      </c>
      <c r="J40" s="14">
        <v>3533.7</v>
      </c>
      <c r="K40" s="14">
        <f t="shared" si="3"/>
        <v>11308</v>
      </c>
    </row>
    <row r="41" spans="1:11" ht="12.75">
      <c r="A41" s="55">
        <f t="shared" si="2"/>
        <v>29</v>
      </c>
      <c r="B41" s="5" t="s">
        <v>528</v>
      </c>
      <c r="C41" s="56">
        <v>0.2</v>
      </c>
      <c r="D41" s="14">
        <v>0</v>
      </c>
      <c r="E41" s="14">
        <v>33634</v>
      </c>
      <c r="F41" s="14">
        <v>2047</v>
      </c>
      <c r="G41" s="14">
        <v>0</v>
      </c>
      <c r="H41" s="14">
        <f t="shared" si="0"/>
        <v>35681</v>
      </c>
      <c r="I41" s="14">
        <f>((D41+E41)*C41)+(F41*(C41/2))+0.5</f>
        <v>6932</v>
      </c>
      <c r="J41" s="14">
        <f>D41</f>
        <v>0</v>
      </c>
      <c r="K41" s="14">
        <f t="shared" si="3"/>
        <v>28749</v>
      </c>
    </row>
    <row r="42" spans="1:11" ht="12.75">
      <c r="A42" s="55">
        <f t="shared" si="2"/>
        <v>30</v>
      </c>
      <c r="B42" s="5" t="s">
        <v>529</v>
      </c>
      <c r="C42" s="56">
        <v>0.25</v>
      </c>
      <c r="D42" s="14">
        <v>53835.32</v>
      </c>
      <c r="E42" s="14">
        <f>3500+6250+13400+1800+3600</f>
        <v>28550</v>
      </c>
      <c r="F42" s="14">
        <v>0</v>
      </c>
      <c r="G42" s="14">
        <v>0</v>
      </c>
      <c r="H42" s="14">
        <f t="shared" si="0"/>
        <v>82385.32</v>
      </c>
      <c r="I42" s="14">
        <f>((D42+E42)*C42)+(F42*(C42/2))-0.01</f>
        <v>20596.320000000003</v>
      </c>
      <c r="J42" s="14">
        <v>14078.44</v>
      </c>
      <c r="K42" s="14">
        <f t="shared" si="3"/>
        <v>61789</v>
      </c>
    </row>
    <row r="43" spans="1:11" ht="12.75">
      <c r="A43" s="55">
        <f t="shared" si="2"/>
        <v>31</v>
      </c>
      <c r="B43" s="5" t="s">
        <v>530</v>
      </c>
      <c r="C43" s="56">
        <v>0.25</v>
      </c>
      <c r="D43" s="14">
        <v>44288.67</v>
      </c>
      <c r="E43" s="14">
        <f>5990+5400</f>
        <v>11390</v>
      </c>
      <c r="F43" s="14">
        <v>0</v>
      </c>
      <c r="G43" s="14">
        <v>0</v>
      </c>
      <c r="H43" s="14">
        <f t="shared" si="0"/>
        <v>55678.67</v>
      </c>
      <c r="I43" s="14">
        <f>((D43+E43)*C43)+(F43*(C43/2))</f>
        <v>13919.6675</v>
      </c>
      <c r="J43" s="14">
        <v>14762.89</v>
      </c>
      <c r="K43" s="14">
        <f t="shared" si="3"/>
        <v>41759.0025</v>
      </c>
    </row>
    <row r="44" spans="1:11" ht="12.75">
      <c r="A44" s="55">
        <f t="shared" si="2"/>
        <v>32</v>
      </c>
      <c r="B44" s="5" t="s">
        <v>531</v>
      </c>
      <c r="C44" s="56">
        <v>0.25</v>
      </c>
      <c r="D44" s="14">
        <v>15799.98</v>
      </c>
      <c r="E44" s="14">
        <v>0</v>
      </c>
      <c r="F44" s="14">
        <v>0</v>
      </c>
      <c r="G44" s="14">
        <f>8000+4271.98</f>
        <v>12271.98</v>
      </c>
      <c r="H44" s="14">
        <f t="shared" si="0"/>
        <v>3528</v>
      </c>
      <c r="I44" s="14">
        <f>((((D44+E44)*C44)-(F44*C44/2))*326/365)+0.06</f>
        <v>3528.000739726027</v>
      </c>
      <c r="J44" s="14">
        <v>5266.66</v>
      </c>
      <c r="K44" s="14">
        <f t="shared" si="3"/>
        <v>-0.0007397260269499384</v>
      </c>
    </row>
    <row r="45" spans="1:11" ht="12.75">
      <c r="A45" s="55">
        <f t="shared" si="2"/>
        <v>33</v>
      </c>
      <c r="B45" s="5" t="s">
        <v>532</v>
      </c>
      <c r="C45" s="56">
        <v>0.2</v>
      </c>
      <c r="D45" s="14">
        <v>246044.87</v>
      </c>
      <c r="E45" s="14">
        <v>0</v>
      </c>
      <c r="F45" s="14">
        <v>0</v>
      </c>
      <c r="G45" s="14">
        <v>0</v>
      </c>
      <c r="H45" s="14">
        <f t="shared" si="0"/>
        <v>246044.87</v>
      </c>
      <c r="I45" s="14">
        <f>((D45+E45)*C45)+(F45*(C45/2))+0.01-0.11</f>
        <v>49208.874</v>
      </c>
      <c r="J45" s="14">
        <v>60649.82</v>
      </c>
      <c r="K45" s="14">
        <f t="shared" si="3"/>
        <v>196835.99599999998</v>
      </c>
    </row>
    <row r="46" spans="1:11" ht="12.75">
      <c r="A46" s="55">
        <f t="shared" si="2"/>
        <v>34</v>
      </c>
      <c r="B46" s="5" t="s">
        <v>533</v>
      </c>
      <c r="C46" s="56">
        <v>0.25</v>
      </c>
      <c r="D46" s="14">
        <v>169511.86</v>
      </c>
      <c r="E46" s="14">
        <f>62256+3228</f>
        <v>65484</v>
      </c>
      <c r="F46" s="14">
        <v>0</v>
      </c>
      <c r="G46" s="14">
        <v>0</v>
      </c>
      <c r="H46" s="14">
        <f t="shared" si="0"/>
        <v>234995.86</v>
      </c>
      <c r="I46" s="14">
        <f>((D46+E46)*C46)+(F46*(C46/2))-0.11</f>
        <v>58748.854999999996</v>
      </c>
      <c r="J46" s="14">
        <v>56503.96</v>
      </c>
      <c r="K46" s="14">
        <f>H46-I46-0.01</f>
        <v>176246.995</v>
      </c>
    </row>
    <row r="47" spans="1:11" ht="12.75">
      <c r="A47" s="55"/>
      <c r="C47" s="56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3"/>
      <c r="B48" s="3"/>
      <c r="C48" s="3" t="s">
        <v>8</v>
      </c>
      <c r="D48" s="34">
        <f>SUM(D13:D46)</f>
        <v>20469753.71</v>
      </c>
      <c r="E48" s="34">
        <f>SUM(E13:E46)</f>
        <v>3974500.81</v>
      </c>
      <c r="F48" s="34">
        <f>SUM(F13:F46)</f>
        <v>9231006.05</v>
      </c>
      <c r="G48" s="34">
        <f>SUM(G13:G46)</f>
        <v>12272.18</v>
      </c>
      <c r="H48" s="34">
        <f>SUM(H13:H46)</f>
        <v>33662988.39</v>
      </c>
      <c r="I48" s="34">
        <f>SUM(I13:I46)+0.02</f>
        <v>4261796.389739727</v>
      </c>
      <c r="J48" s="34">
        <f>SUM(J13:J46)</f>
        <v>3607868.5199999996</v>
      </c>
      <c r="K48" s="34">
        <f>SUM(K13:K46)+0.02</f>
        <v>29401192.00026027</v>
      </c>
    </row>
    <row r="49" spans="1:2" ht="12.75">
      <c r="A49" s="1"/>
      <c r="B49" s="1" t="s">
        <v>41</v>
      </c>
    </row>
    <row r="51" spans="1:11" ht="12.75">
      <c r="A51" s="55">
        <v>1</v>
      </c>
      <c r="B51" s="5" t="s">
        <v>534</v>
      </c>
      <c r="C51" s="57">
        <v>0.1</v>
      </c>
      <c r="D51" s="14">
        <v>13075436.72</v>
      </c>
      <c r="E51" s="14">
        <v>2049071</v>
      </c>
      <c r="F51" s="14">
        <v>4524869</v>
      </c>
      <c r="G51" s="14">
        <v>0</v>
      </c>
      <c r="H51" s="14">
        <f aca="true" t="shared" si="4" ref="H51:H74">SUM(D51:F51)-G51</f>
        <v>19649376.72</v>
      </c>
      <c r="I51" s="14">
        <f>((D51+E51)*C51)+(F51*(C51/2))+0.5</f>
        <v>1738694.722</v>
      </c>
      <c r="J51" s="14">
        <v>1447024.64</v>
      </c>
      <c r="K51" s="14">
        <f>H51-I51</f>
        <v>17910681.998</v>
      </c>
    </row>
    <row r="52" spans="1:11" ht="12.75">
      <c r="A52" s="55">
        <f aca="true" t="shared" si="5" ref="A52:A74">A51+1</f>
        <v>2</v>
      </c>
      <c r="B52" s="5" t="s">
        <v>535</v>
      </c>
      <c r="C52" s="57">
        <v>0.25</v>
      </c>
      <c r="D52" s="14">
        <v>0</v>
      </c>
      <c r="E52" s="14">
        <v>43617</v>
      </c>
      <c r="F52" s="14">
        <v>0</v>
      </c>
      <c r="G52" s="14">
        <v>0</v>
      </c>
      <c r="H52" s="14">
        <f t="shared" si="4"/>
        <v>43617</v>
      </c>
      <c r="I52" s="14">
        <f>((D52+E52)*C52)+(F52*(C52/2))-0.25</f>
        <v>10904</v>
      </c>
      <c r="J52" s="14">
        <v>0</v>
      </c>
      <c r="K52" s="14">
        <f>H52-I52</f>
        <v>32713</v>
      </c>
    </row>
    <row r="53" spans="1:11" ht="12.75">
      <c r="A53" s="55">
        <f t="shared" si="5"/>
        <v>3</v>
      </c>
      <c r="B53" s="5" t="s">
        <v>536</v>
      </c>
      <c r="C53" s="57">
        <v>0.6</v>
      </c>
      <c r="D53" s="14">
        <v>282641.14</v>
      </c>
      <c r="E53" s="14">
        <v>17091</v>
      </c>
      <c r="F53" s="14">
        <v>231862</v>
      </c>
      <c r="G53" s="14">
        <v>0</v>
      </c>
      <c r="H53" s="14">
        <f t="shared" si="4"/>
        <v>531594.14</v>
      </c>
      <c r="I53" s="14">
        <f>((D53+E53)*C53)+(F53*(C53/2))+0.26</f>
        <v>249398.14400000003</v>
      </c>
      <c r="J53" s="14">
        <v>423961.76</v>
      </c>
      <c r="K53" s="14">
        <f>H53-I53</f>
        <v>282195.996</v>
      </c>
    </row>
    <row r="54" spans="1:11" ht="12.75">
      <c r="A54" s="55">
        <f t="shared" si="5"/>
        <v>4</v>
      </c>
      <c r="B54" s="5" t="s">
        <v>537</v>
      </c>
      <c r="C54" s="57">
        <v>0.25</v>
      </c>
      <c r="D54" s="14">
        <v>233481.3</v>
      </c>
      <c r="E54" s="14">
        <v>0</v>
      </c>
      <c r="F54" s="14">
        <v>0</v>
      </c>
      <c r="G54" s="14">
        <v>0</v>
      </c>
      <c r="H54" s="14">
        <f t="shared" si="4"/>
        <v>233481.3</v>
      </c>
      <c r="I54" s="14">
        <f>((D54+E54)*C54)+(F54*(C54/2))-0.03</f>
        <v>58370.295</v>
      </c>
      <c r="J54" s="14">
        <v>77827.1</v>
      </c>
      <c r="K54" s="14">
        <f>H54-I54-0.01</f>
        <v>175110.995</v>
      </c>
    </row>
    <row r="55" spans="1:11" ht="12.75">
      <c r="A55" s="55">
        <f t="shared" si="5"/>
        <v>5</v>
      </c>
      <c r="B55" s="5" t="s">
        <v>538</v>
      </c>
      <c r="C55" s="57">
        <v>0.25</v>
      </c>
      <c r="D55" s="14">
        <v>75196.43</v>
      </c>
      <c r="E55" s="14">
        <v>1340</v>
      </c>
      <c r="F55" s="14">
        <v>0</v>
      </c>
      <c r="G55" s="14">
        <v>0</v>
      </c>
      <c r="H55" s="14">
        <f t="shared" si="4"/>
        <v>76536.43</v>
      </c>
      <c r="I55" s="14">
        <f>((D55+E55)*C55)+(F55*(C55/2))+0.32</f>
        <v>19134.427499999998</v>
      </c>
      <c r="J55" s="14">
        <v>23240.48</v>
      </c>
      <c r="K55" s="14">
        <f>H55-I55</f>
        <v>57402.002499999995</v>
      </c>
    </row>
    <row r="56" spans="1:11" ht="12.75">
      <c r="A56" s="55">
        <f t="shared" si="5"/>
        <v>6</v>
      </c>
      <c r="B56" s="5" t="s">
        <v>539</v>
      </c>
      <c r="C56" s="56">
        <v>0.25</v>
      </c>
      <c r="D56" s="14">
        <v>0</v>
      </c>
      <c r="E56" s="14">
        <v>0</v>
      </c>
      <c r="F56" s="14">
        <v>2524731</v>
      </c>
      <c r="G56" s="14">
        <v>0</v>
      </c>
      <c r="H56" s="14">
        <f t="shared" si="4"/>
        <v>2524731</v>
      </c>
      <c r="I56" s="14">
        <f>((D56+E56)*C56)+(F56*(C56/2))-0.38</f>
        <v>315590.995</v>
      </c>
      <c r="J56" s="14">
        <v>0</v>
      </c>
      <c r="K56" s="14">
        <f>H56-I56-0.01</f>
        <v>2209139.995</v>
      </c>
    </row>
    <row r="57" spans="1:11" ht="12.75">
      <c r="A57" s="55">
        <f t="shared" si="5"/>
        <v>7</v>
      </c>
      <c r="B57" s="5" t="s">
        <v>540</v>
      </c>
      <c r="C57" s="56">
        <v>0.25</v>
      </c>
      <c r="D57" s="14">
        <v>73199.47</v>
      </c>
      <c r="E57" s="14">
        <v>0</v>
      </c>
      <c r="F57" s="14">
        <v>0</v>
      </c>
      <c r="G57" s="14">
        <v>0</v>
      </c>
      <c r="H57" s="14">
        <f t="shared" si="4"/>
        <v>73199.47</v>
      </c>
      <c r="I57" s="14">
        <f>((D57+E57)*C57)+(F57*(C57/2))-0.4</f>
        <v>18299.4675</v>
      </c>
      <c r="J57" s="14">
        <v>24399.83</v>
      </c>
      <c r="K57" s="14">
        <f>H57-I57</f>
        <v>54900.0025</v>
      </c>
    </row>
    <row r="58" spans="1:11" ht="12.75">
      <c r="A58" s="55">
        <f t="shared" si="5"/>
        <v>8</v>
      </c>
      <c r="B58" s="5" t="s">
        <v>541</v>
      </c>
      <c r="C58" s="56">
        <v>0.25</v>
      </c>
      <c r="D58" s="14">
        <v>0</v>
      </c>
      <c r="E58" s="14">
        <v>15210</v>
      </c>
      <c r="F58" s="14">
        <v>0</v>
      </c>
      <c r="G58" s="14">
        <v>0</v>
      </c>
      <c r="H58" s="14">
        <f t="shared" si="4"/>
        <v>15210</v>
      </c>
      <c r="I58" s="14">
        <f>((D58+E58)*C58)+(F58*(C58/2))+0.5</f>
        <v>3803</v>
      </c>
      <c r="J58" s="14">
        <v>0</v>
      </c>
      <c r="K58" s="14">
        <f>H58-I58</f>
        <v>11407</v>
      </c>
    </row>
    <row r="59" spans="1:11" ht="12.75">
      <c r="A59" s="55">
        <f t="shared" si="5"/>
        <v>9</v>
      </c>
      <c r="B59" s="5" t="s">
        <v>542</v>
      </c>
      <c r="C59" s="56">
        <v>0.15</v>
      </c>
      <c r="D59" s="14">
        <v>1891164.32</v>
      </c>
      <c r="E59" s="14">
        <v>136713</v>
      </c>
      <c r="F59" s="14">
        <v>96774</v>
      </c>
      <c r="G59" s="14">
        <v>0</v>
      </c>
      <c r="H59" s="14">
        <f t="shared" si="4"/>
        <v>2124651.3200000003</v>
      </c>
      <c r="I59" s="14">
        <f>((D59+E59)*C59)+(F59*(C59/2))-0.33</f>
        <v>311439.31799999997</v>
      </c>
      <c r="J59" s="14">
        <v>300585.5</v>
      </c>
      <c r="K59" s="14">
        <f>H59-I59</f>
        <v>1813212.0020000003</v>
      </c>
    </row>
    <row r="60" spans="1:11" ht="12.75">
      <c r="A60" s="55">
        <f t="shared" si="5"/>
        <v>10</v>
      </c>
      <c r="B60" s="5" t="s">
        <v>543</v>
      </c>
      <c r="C60" s="56">
        <v>0.25</v>
      </c>
      <c r="D60" s="14">
        <v>1093.58</v>
      </c>
      <c r="E60" s="14">
        <v>0</v>
      </c>
      <c r="F60" s="14">
        <v>0</v>
      </c>
      <c r="G60" s="14">
        <v>0</v>
      </c>
      <c r="H60" s="14">
        <f t="shared" si="4"/>
        <v>1093.58</v>
      </c>
      <c r="I60" s="14">
        <f>((D60+E60)*C60)+(F60*(C60/2))+0.18</f>
        <v>273.575</v>
      </c>
      <c r="J60" s="14">
        <v>364.52</v>
      </c>
      <c r="K60" s="14">
        <f>H60-I60-0.01</f>
        <v>819.9949999999999</v>
      </c>
    </row>
    <row r="61" spans="1:11" ht="12.75">
      <c r="A61" s="55">
        <f t="shared" si="5"/>
        <v>11</v>
      </c>
      <c r="B61" s="5" t="s">
        <v>544</v>
      </c>
      <c r="C61" s="56">
        <v>0.25</v>
      </c>
      <c r="D61" s="14">
        <v>0</v>
      </c>
      <c r="E61" s="14">
        <v>18000</v>
      </c>
      <c r="F61" s="14">
        <v>0</v>
      </c>
      <c r="G61" s="14">
        <v>0</v>
      </c>
      <c r="H61" s="14">
        <f t="shared" si="4"/>
        <v>18000</v>
      </c>
      <c r="I61" s="14">
        <f>((D61+E61)*C61)+(F61*(C61/2))</f>
        <v>4500</v>
      </c>
      <c r="J61" s="14">
        <v>0</v>
      </c>
      <c r="K61" s="14">
        <f>H61-I61</f>
        <v>13500</v>
      </c>
    </row>
    <row r="62" spans="1:11" ht="12.75">
      <c r="A62" s="55">
        <f t="shared" si="5"/>
        <v>12</v>
      </c>
      <c r="B62" s="5" t="s">
        <v>545</v>
      </c>
      <c r="C62" s="56">
        <v>0</v>
      </c>
      <c r="D62" s="14">
        <v>4493865</v>
      </c>
      <c r="E62" s="14">
        <v>0</v>
      </c>
      <c r="F62" s="14">
        <v>0</v>
      </c>
      <c r="G62" s="14">
        <v>0</v>
      </c>
      <c r="H62" s="14">
        <f t="shared" si="4"/>
        <v>4493865</v>
      </c>
      <c r="I62" s="14">
        <f>((D62+E62)*C62)+(F62*(C62/2))</f>
        <v>0</v>
      </c>
      <c r="J62" s="14">
        <v>0</v>
      </c>
      <c r="K62" s="14">
        <f>H62-I62</f>
        <v>4493865</v>
      </c>
    </row>
    <row r="63" spans="1:11" ht="12.75">
      <c r="A63" s="55">
        <f t="shared" si="5"/>
        <v>13</v>
      </c>
      <c r="B63" s="5" t="s">
        <v>546</v>
      </c>
      <c r="C63" s="56">
        <v>0.25</v>
      </c>
      <c r="D63" s="14">
        <v>287572.88</v>
      </c>
      <c r="E63" s="14">
        <v>35689</v>
      </c>
      <c r="F63" s="14">
        <v>93781</v>
      </c>
      <c r="G63" s="14">
        <v>0</v>
      </c>
      <c r="H63" s="14">
        <f t="shared" si="4"/>
        <v>417042.88</v>
      </c>
      <c r="I63" s="14">
        <f>((D63+E63)*C63)+(F63*(C63/2))-0.22</f>
        <v>92537.875</v>
      </c>
      <c r="J63" s="14">
        <v>87437.13</v>
      </c>
      <c r="K63" s="14">
        <f>H63-I63-0.01</f>
        <v>324504.995</v>
      </c>
    </row>
    <row r="64" spans="1:11" ht="12.75">
      <c r="A64" s="55">
        <f t="shared" si="5"/>
        <v>14</v>
      </c>
      <c r="B64" s="5" t="s">
        <v>547</v>
      </c>
      <c r="C64" s="56">
        <v>0.25</v>
      </c>
      <c r="D64" s="14">
        <v>132080.09</v>
      </c>
      <c r="E64" s="14">
        <v>22725</v>
      </c>
      <c r="F64" s="14">
        <v>5916</v>
      </c>
      <c r="G64" s="14">
        <v>0</v>
      </c>
      <c r="H64" s="14">
        <f t="shared" si="4"/>
        <v>160721.09</v>
      </c>
      <c r="I64" s="14">
        <f>((D64+E64)*C64)+(F64*(C64/2))+0.32</f>
        <v>39441.0925</v>
      </c>
      <c r="J64" s="14">
        <v>44026.7</v>
      </c>
      <c r="K64" s="14">
        <f>H64-I64</f>
        <v>121279.9975</v>
      </c>
    </row>
    <row r="65" spans="1:11" ht="12.75">
      <c r="A65" s="55">
        <f t="shared" si="5"/>
        <v>15</v>
      </c>
      <c r="B65" s="5" t="s">
        <v>548</v>
      </c>
      <c r="C65" s="56">
        <v>0.25</v>
      </c>
      <c r="D65" s="14">
        <v>339225.24</v>
      </c>
      <c r="E65" s="14">
        <v>7700</v>
      </c>
      <c r="F65" s="14">
        <v>272521</v>
      </c>
      <c r="G65" s="14">
        <v>0</v>
      </c>
      <c r="H65" s="14">
        <f t="shared" si="4"/>
        <v>619446.24</v>
      </c>
      <c r="I65" s="14">
        <f>((D65+E65)*C65)+(F65*(C65/2))-0.2</f>
        <v>120796.235</v>
      </c>
      <c r="J65" s="14">
        <v>88658.57</v>
      </c>
      <c r="K65" s="14">
        <f>H65-I65-0.01</f>
        <v>498649.995</v>
      </c>
    </row>
    <row r="66" spans="1:11" ht="12.75">
      <c r="A66" s="55">
        <f t="shared" si="5"/>
        <v>16</v>
      </c>
      <c r="B66" s="5" t="s">
        <v>549</v>
      </c>
      <c r="C66" s="56">
        <v>0.25</v>
      </c>
      <c r="D66" s="14">
        <v>360339.7</v>
      </c>
      <c r="E66" s="14">
        <v>943352</v>
      </c>
      <c r="F66" s="14">
        <v>88015</v>
      </c>
      <c r="G66" s="14">
        <v>0</v>
      </c>
      <c r="H66" s="14">
        <f t="shared" si="4"/>
        <v>1391706.7</v>
      </c>
      <c r="I66" s="14">
        <f>((D66+E66)*C66)+(F66*(C66/2))-0.1</f>
        <v>336924.7</v>
      </c>
      <c r="J66" s="14">
        <v>120113.22</v>
      </c>
      <c r="K66" s="14">
        <f aca="true" t="shared" si="6" ref="K66:K74">H66-I66</f>
        <v>1054782</v>
      </c>
    </row>
    <row r="67" spans="1:11" ht="12.75">
      <c r="A67" s="55">
        <f t="shared" si="5"/>
        <v>17</v>
      </c>
      <c r="B67" s="5" t="s">
        <v>613</v>
      </c>
      <c r="C67" s="56">
        <v>0.25</v>
      </c>
      <c r="D67" s="14">
        <v>33222.65</v>
      </c>
      <c r="E67" s="14">
        <v>0</v>
      </c>
      <c r="F67" s="14">
        <v>0</v>
      </c>
      <c r="G67" s="14">
        <v>0</v>
      </c>
      <c r="H67" s="14">
        <f t="shared" si="4"/>
        <v>33222.65</v>
      </c>
      <c r="I67" s="14">
        <f>((D67+E67)*C67)+(F67*(C67/2))-0.01</f>
        <v>8305.6525</v>
      </c>
      <c r="J67" s="14">
        <v>11074.22</v>
      </c>
      <c r="K67" s="14">
        <f t="shared" si="6"/>
        <v>24916.9975</v>
      </c>
    </row>
    <row r="68" spans="1:11" ht="12.75">
      <c r="A68" s="55">
        <f t="shared" si="5"/>
        <v>18</v>
      </c>
      <c r="B68" s="5" t="s">
        <v>550</v>
      </c>
      <c r="C68" s="56">
        <v>0.2</v>
      </c>
      <c r="D68" s="14">
        <v>345572.51</v>
      </c>
      <c r="E68" s="14">
        <v>0</v>
      </c>
      <c r="F68" s="14">
        <v>0</v>
      </c>
      <c r="G68" s="14">
        <v>0</v>
      </c>
      <c r="H68" s="14">
        <f t="shared" si="4"/>
        <v>345572.51</v>
      </c>
      <c r="I68" s="14">
        <f>((D68+E68)*C68)+(F68*(C68/2))+0.01</f>
        <v>69114.512</v>
      </c>
      <c r="J68" s="14">
        <v>86318.11</v>
      </c>
      <c r="K68" s="14">
        <f t="shared" si="6"/>
        <v>276457.998</v>
      </c>
    </row>
    <row r="69" spans="1:11" ht="12.75">
      <c r="A69" s="55">
        <f t="shared" si="5"/>
        <v>19</v>
      </c>
      <c r="B69" s="5" t="s">
        <v>551</v>
      </c>
      <c r="C69" s="56">
        <v>0.2</v>
      </c>
      <c r="D69" s="14">
        <v>0</v>
      </c>
      <c r="E69" s="14">
        <v>1858421</v>
      </c>
      <c r="F69" s="14">
        <v>0</v>
      </c>
      <c r="G69" s="14">
        <v>0</v>
      </c>
      <c r="H69" s="14">
        <f t="shared" si="4"/>
        <v>1858421</v>
      </c>
      <c r="I69" s="14">
        <f>((D69+E69)*C69)+(F69*(C69/2))-0.2</f>
        <v>371684</v>
      </c>
      <c r="J69" s="14">
        <v>0</v>
      </c>
      <c r="K69" s="14">
        <f t="shared" si="6"/>
        <v>1486737</v>
      </c>
    </row>
    <row r="70" spans="1:11" ht="12.75">
      <c r="A70" s="55">
        <f t="shared" si="5"/>
        <v>20</v>
      </c>
      <c r="B70" s="5" t="s">
        <v>552</v>
      </c>
      <c r="C70" s="56">
        <v>0.2</v>
      </c>
      <c r="D70" s="14">
        <v>214657.6</v>
      </c>
      <c r="E70" s="14">
        <v>0</v>
      </c>
      <c r="F70" s="14">
        <v>0</v>
      </c>
      <c r="G70" s="14">
        <v>0</v>
      </c>
      <c r="H70" s="14">
        <f t="shared" si="4"/>
        <v>214657.6</v>
      </c>
      <c r="I70" s="14">
        <f>((D70+E70)*C70)+(F70*(C70/2))+0.08</f>
        <v>42931.600000000006</v>
      </c>
      <c r="J70" s="14">
        <v>53664.4</v>
      </c>
      <c r="K70" s="14">
        <f t="shared" si="6"/>
        <v>171726</v>
      </c>
    </row>
    <row r="71" spans="1:11" ht="12.75">
      <c r="A71" s="55">
        <f t="shared" si="5"/>
        <v>21</v>
      </c>
      <c r="B71" s="5" t="s">
        <v>553</v>
      </c>
      <c r="C71" s="56">
        <v>0.25</v>
      </c>
      <c r="D71" s="14">
        <v>0</v>
      </c>
      <c r="E71" s="14">
        <v>0</v>
      </c>
      <c r="F71" s="14">
        <v>5700</v>
      </c>
      <c r="G71" s="14">
        <v>0</v>
      </c>
      <c r="H71" s="14">
        <f t="shared" si="4"/>
        <v>5700</v>
      </c>
      <c r="I71" s="14">
        <f>((D71+E71)*C71)+(F71*(C71/2))+0.5</f>
        <v>713</v>
      </c>
      <c r="J71" s="14">
        <v>0</v>
      </c>
      <c r="K71" s="14">
        <f t="shared" si="6"/>
        <v>4987</v>
      </c>
    </row>
    <row r="72" spans="1:11" ht="12.75">
      <c r="A72" s="55">
        <f t="shared" si="5"/>
        <v>22</v>
      </c>
      <c r="B72" s="5" t="s">
        <v>554</v>
      </c>
      <c r="C72" s="56">
        <v>0.25</v>
      </c>
      <c r="D72" s="14">
        <v>87165.67</v>
      </c>
      <c r="E72" s="14">
        <v>3500</v>
      </c>
      <c r="F72" s="14">
        <v>0</v>
      </c>
      <c r="G72" s="14">
        <v>0</v>
      </c>
      <c r="H72" s="14">
        <f t="shared" si="4"/>
        <v>90665.67</v>
      </c>
      <c r="I72" s="14">
        <f>((D72+E72)*C72)+(F72*(C72/2))+0.25</f>
        <v>22666.6675</v>
      </c>
      <c r="J72" s="14">
        <v>29055.23</v>
      </c>
      <c r="K72" s="14">
        <f t="shared" si="6"/>
        <v>67999.0025</v>
      </c>
    </row>
    <row r="73" spans="1:11" ht="12.75">
      <c r="A73" s="55">
        <f t="shared" si="5"/>
        <v>23</v>
      </c>
      <c r="B73" s="5" t="s">
        <v>555</v>
      </c>
      <c r="C73" s="56">
        <v>0.25</v>
      </c>
      <c r="D73" s="14">
        <v>5787.07</v>
      </c>
      <c r="E73" s="14">
        <v>0</v>
      </c>
      <c r="F73" s="14">
        <v>71425</v>
      </c>
      <c r="G73" s="14">
        <v>0</v>
      </c>
      <c r="H73" s="14">
        <f t="shared" si="4"/>
        <v>77212.07</v>
      </c>
      <c r="I73" s="14">
        <f>((D73+E73)*C73)+(F73*(C73/2))+0.18</f>
        <v>10375.0725</v>
      </c>
      <c r="J73" s="14">
        <v>1929.02</v>
      </c>
      <c r="K73" s="14">
        <f t="shared" si="6"/>
        <v>66836.99750000001</v>
      </c>
    </row>
    <row r="74" spans="1:11" ht="12.75">
      <c r="A74" s="55">
        <f t="shared" si="5"/>
        <v>24</v>
      </c>
      <c r="B74" s="5" t="s">
        <v>556</v>
      </c>
      <c r="C74" s="56">
        <v>0.25</v>
      </c>
      <c r="D74" s="14">
        <v>0</v>
      </c>
      <c r="E74" s="14">
        <v>0</v>
      </c>
      <c r="F74" s="14">
        <v>35590</v>
      </c>
      <c r="G74" s="14">
        <v>0</v>
      </c>
      <c r="H74" s="14">
        <f t="shared" si="4"/>
        <v>35590</v>
      </c>
      <c r="I74" s="14">
        <f>((D74+E74)*C74)+(F74*(C74/2))+0.25</f>
        <v>4449</v>
      </c>
      <c r="J74" s="14">
        <v>0</v>
      </c>
      <c r="K74" s="14">
        <f t="shared" si="6"/>
        <v>31141</v>
      </c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 t="s">
        <v>8</v>
      </c>
      <c r="D76" s="34">
        <f>SUM(D51:D74)</f>
        <v>21931701.37</v>
      </c>
      <c r="E76" s="34">
        <f>SUM(E51:E74)</f>
        <v>5152429</v>
      </c>
      <c r="F76" s="34">
        <f>SUM(F51:F74)</f>
        <v>7951184</v>
      </c>
      <c r="G76" s="34">
        <f>SUM(G51:G74)</f>
        <v>0</v>
      </c>
      <c r="H76" s="34">
        <f>SUM(H51:H74)</f>
        <v>35035314.37</v>
      </c>
      <c r="I76" s="34">
        <f>SUM(I51:I74)+0.014</f>
        <v>3850347.3649999998</v>
      </c>
      <c r="J76" s="34">
        <f>SUM(J51:J74)</f>
        <v>2819680.43</v>
      </c>
      <c r="K76" s="34">
        <f>SUM(K51:K74)+0.03</f>
        <v>31184966.999000005</v>
      </c>
    </row>
    <row r="77" spans="1:2" ht="12.75">
      <c r="A77" s="1"/>
      <c r="B77" s="1" t="s">
        <v>39</v>
      </c>
    </row>
    <row r="79" spans="1:11" ht="12.75">
      <c r="A79" s="55">
        <v>1</v>
      </c>
      <c r="B79" s="5" t="s">
        <v>557</v>
      </c>
      <c r="C79" s="56">
        <v>0.1</v>
      </c>
      <c r="D79" s="14">
        <v>19881289.2</v>
      </c>
      <c r="E79" s="14">
        <v>50336</v>
      </c>
      <c r="F79" s="14">
        <v>587772</v>
      </c>
      <c r="G79" s="14">
        <v>0</v>
      </c>
      <c r="H79" s="14">
        <f>SUM(D79:F79)-G79</f>
        <v>20519397.2</v>
      </c>
      <c r="I79" s="14">
        <f>((D79+E79)*C79)+(F79*(C79/2))+0.08</f>
        <v>2022551.2000000002</v>
      </c>
      <c r="J79" s="14">
        <v>2157288.41</v>
      </c>
      <c r="K79" s="14">
        <f aca="true" t="shared" si="7" ref="K79:K89">H79-I79</f>
        <v>18496846</v>
      </c>
    </row>
    <row r="80" spans="1:11" ht="12.75">
      <c r="A80" s="55">
        <f aca="true" t="shared" si="8" ref="A80:A113">A79+1</f>
        <v>2</v>
      </c>
      <c r="B80" s="5" t="s">
        <v>558</v>
      </c>
      <c r="C80" s="56">
        <v>0.6</v>
      </c>
      <c r="D80" s="14">
        <v>234875.14</v>
      </c>
      <c r="E80" s="14">
        <v>15895</v>
      </c>
      <c r="F80" s="14">
        <v>13750</v>
      </c>
      <c r="G80" s="14">
        <v>0</v>
      </c>
      <c r="H80" s="14">
        <f aca="true" t="shared" si="9" ref="H80:H111">SUM(D80:F80)-G80</f>
        <v>264520.14</v>
      </c>
      <c r="I80" s="14">
        <f>((D80+E80)*C80)+(F80*(C80/2))+0.06</f>
        <v>154587.144</v>
      </c>
      <c r="J80" s="14">
        <v>352312.68</v>
      </c>
      <c r="K80" s="14">
        <f t="shared" si="7"/>
        <v>109932.99600000001</v>
      </c>
    </row>
    <row r="81" spans="1:11" ht="12.75">
      <c r="A81" s="55">
        <f t="shared" si="8"/>
        <v>3</v>
      </c>
      <c r="B81" s="5" t="s">
        <v>559</v>
      </c>
      <c r="C81" s="56">
        <v>0.25</v>
      </c>
      <c r="D81" s="14">
        <v>210061.12</v>
      </c>
      <c r="E81" s="14">
        <v>0</v>
      </c>
      <c r="F81" s="14">
        <v>0</v>
      </c>
      <c r="G81" s="14">
        <v>0</v>
      </c>
      <c r="H81" s="14">
        <f t="shared" si="9"/>
        <v>210061.12</v>
      </c>
      <c r="I81" s="14">
        <f>((D81+E81)*C81)+(F81*(C81/2))-0.16</f>
        <v>52515.119999999995</v>
      </c>
      <c r="J81" s="14">
        <v>70020.38</v>
      </c>
      <c r="K81" s="14">
        <f t="shared" si="7"/>
        <v>157546</v>
      </c>
    </row>
    <row r="82" spans="1:11" ht="12.75">
      <c r="A82" s="55">
        <f t="shared" si="8"/>
        <v>4</v>
      </c>
      <c r="B82" s="5" t="s">
        <v>560</v>
      </c>
      <c r="C82" s="56">
        <v>0.25</v>
      </c>
      <c r="D82" s="14">
        <v>521718.75</v>
      </c>
      <c r="E82" s="14">
        <v>0</v>
      </c>
      <c r="F82" s="14">
        <v>0</v>
      </c>
      <c r="G82" s="14">
        <v>0</v>
      </c>
      <c r="H82" s="14">
        <f t="shared" si="9"/>
        <v>521718.75</v>
      </c>
      <c r="I82" s="14">
        <f>((D82+E82)*C82)+(F82*(C82/2))+0.06</f>
        <v>130429.7475</v>
      </c>
      <c r="J82" s="14">
        <v>173906.25</v>
      </c>
      <c r="K82" s="14">
        <f t="shared" si="7"/>
        <v>391289.0025</v>
      </c>
    </row>
    <row r="83" spans="1:11" ht="12.75">
      <c r="A83" s="55">
        <f t="shared" si="8"/>
        <v>5</v>
      </c>
      <c r="B83" s="5" t="s">
        <v>561</v>
      </c>
      <c r="C83" s="56">
        <v>0.5</v>
      </c>
      <c r="D83" s="14">
        <v>3781.62</v>
      </c>
      <c r="E83" s="14">
        <v>52290</v>
      </c>
      <c r="F83" s="14">
        <v>0</v>
      </c>
      <c r="G83" s="14">
        <v>0</v>
      </c>
      <c r="H83" s="14">
        <f t="shared" si="9"/>
        <v>56071.62</v>
      </c>
      <c r="I83" s="14">
        <f>((D83+E83)*C83)+(F83*(C83/2))-0.19</f>
        <v>28035.620000000003</v>
      </c>
      <c r="J83" s="14">
        <v>3781.63</v>
      </c>
      <c r="K83" s="14">
        <f t="shared" si="7"/>
        <v>28036</v>
      </c>
    </row>
    <row r="84" spans="1:11" ht="12.75">
      <c r="A84" s="55">
        <f t="shared" si="8"/>
        <v>6</v>
      </c>
      <c r="B84" s="5" t="s">
        <v>562</v>
      </c>
      <c r="C84" s="56">
        <v>0.15</v>
      </c>
      <c r="D84" s="14">
        <v>1748732.84</v>
      </c>
      <c r="E84" s="14">
        <v>529993</v>
      </c>
      <c r="F84" s="14">
        <v>233790</v>
      </c>
      <c r="G84" s="14">
        <v>0</v>
      </c>
      <c r="H84" s="14">
        <f t="shared" si="9"/>
        <v>2512515.84</v>
      </c>
      <c r="I84" s="14">
        <f>((D84+E84)*C84)+(F84*(C84/2))-0.29</f>
        <v>359342.836</v>
      </c>
      <c r="J84" s="14">
        <v>292594.21</v>
      </c>
      <c r="K84" s="14">
        <f t="shared" si="7"/>
        <v>2153173.0039999997</v>
      </c>
    </row>
    <row r="85" spans="1:11" ht="12.75">
      <c r="A85" s="55">
        <f t="shared" si="8"/>
        <v>7</v>
      </c>
      <c r="B85" s="5" t="s">
        <v>563</v>
      </c>
      <c r="C85" s="56">
        <v>0.25</v>
      </c>
      <c r="D85" s="14">
        <v>0</v>
      </c>
      <c r="E85" s="14">
        <v>0</v>
      </c>
      <c r="F85" s="14">
        <v>9700</v>
      </c>
      <c r="G85" s="14">
        <v>0</v>
      </c>
      <c r="H85" s="14">
        <f t="shared" si="9"/>
        <v>9700</v>
      </c>
      <c r="I85" s="14">
        <f>((D85+E85)*C85)+(F85*(C85/2))+0.5</f>
        <v>1213</v>
      </c>
      <c r="J85" s="14">
        <v>0</v>
      </c>
      <c r="K85" s="14">
        <f t="shared" si="7"/>
        <v>8487</v>
      </c>
    </row>
    <row r="86" spans="1:11" ht="12.75">
      <c r="A86" s="55">
        <f t="shared" si="8"/>
        <v>8</v>
      </c>
      <c r="B86" s="5" t="s">
        <v>564</v>
      </c>
      <c r="C86" s="56">
        <v>0.25</v>
      </c>
      <c r="D86" s="14">
        <v>69974.27</v>
      </c>
      <c r="E86" s="14">
        <v>0</v>
      </c>
      <c r="F86" s="14">
        <v>0</v>
      </c>
      <c r="G86" s="14">
        <v>0</v>
      </c>
      <c r="H86" s="14">
        <f t="shared" si="9"/>
        <v>69974.27</v>
      </c>
      <c r="I86" s="14">
        <f>((D86+E86)*C86)+(F86*(C86/2))-0.3</f>
        <v>17493.2675</v>
      </c>
      <c r="J86" s="14">
        <v>23324.76</v>
      </c>
      <c r="K86" s="14">
        <f t="shared" si="7"/>
        <v>52481.0025</v>
      </c>
    </row>
    <row r="87" spans="1:11" ht="12.75">
      <c r="A87" s="55">
        <f t="shared" si="8"/>
        <v>9</v>
      </c>
      <c r="B87" s="5" t="s">
        <v>565</v>
      </c>
      <c r="C87" s="56">
        <v>0.25</v>
      </c>
      <c r="D87" s="14">
        <v>981.55</v>
      </c>
      <c r="E87" s="14">
        <v>25300</v>
      </c>
      <c r="F87" s="14">
        <v>0</v>
      </c>
      <c r="G87" s="14">
        <v>0</v>
      </c>
      <c r="H87" s="14">
        <f t="shared" si="9"/>
        <v>26281.55</v>
      </c>
      <c r="I87" s="14">
        <f>((D87+E87)*C87)+(F87*(C87/2))+0.16</f>
        <v>6570.5475</v>
      </c>
      <c r="J87" s="14">
        <v>327.18</v>
      </c>
      <c r="K87" s="14">
        <f t="shared" si="7"/>
        <v>19711.0025</v>
      </c>
    </row>
    <row r="88" spans="1:11" ht="12.75">
      <c r="A88" s="55">
        <f t="shared" si="8"/>
        <v>10</v>
      </c>
      <c r="B88" s="5" t="s">
        <v>566</v>
      </c>
      <c r="C88" s="56">
        <v>0.25</v>
      </c>
      <c r="D88" s="14">
        <v>105524.47</v>
      </c>
      <c r="E88" s="14">
        <v>0</v>
      </c>
      <c r="F88" s="14">
        <v>37223</v>
      </c>
      <c r="G88" s="14">
        <v>0</v>
      </c>
      <c r="H88" s="14">
        <f t="shared" si="9"/>
        <v>142747.47</v>
      </c>
      <c r="I88" s="14">
        <f>((D88+E88)*C88)+(F88*(C88/2))+0.01+0.47</f>
        <v>31034.4725</v>
      </c>
      <c r="J88" s="14">
        <v>33878.99</v>
      </c>
      <c r="K88" s="14">
        <f t="shared" si="7"/>
        <v>111712.9975</v>
      </c>
    </row>
    <row r="89" spans="1:11" ht="12.75">
      <c r="A89" s="55">
        <f t="shared" si="8"/>
        <v>11</v>
      </c>
      <c r="B89" s="5" t="s">
        <v>567</v>
      </c>
      <c r="C89" s="56">
        <v>0.25</v>
      </c>
      <c r="D89" s="14">
        <v>300069.1</v>
      </c>
      <c r="E89" s="14">
        <v>0</v>
      </c>
      <c r="F89" s="14">
        <v>9217</v>
      </c>
      <c r="G89" s="14">
        <v>0</v>
      </c>
      <c r="H89" s="14">
        <f t="shared" si="9"/>
        <v>309286.1</v>
      </c>
      <c r="I89" s="14">
        <f>((D89+E89)*C89)+(F89*(C89/2))+0.01-0.31</f>
        <v>76169.09999999999</v>
      </c>
      <c r="J89" s="14">
        <v>83281.52</v>
      </c>
      <c r="K89" s="14">
        <f t="shared" si="7"/>
        <v>233117</v>
      </c>
    </row>
    <row r="90" spans="1:11" ht="12.75">
      <c r="A90" s="55">
        <f t="shared" si="8"/>
        <v>12</v>
      </c>
      <c r="B90" s="5" t="s">
        <v>568</v>
      </c>
      <c r="C90" s="56">
        <v>0.25</v>
      </c>
      <c r="D90" s="14">
        <v>768328</v>
      </c>
      <c r="E90" s="14">
        <v>27309</v>
      </c>
      <c r="F90" s="14">
        <v>227557</v>
      </c>
      <c r="G90" s="14">
        <v>12750</v>
      </c>
      <c r="H90" s="14">
        <f t="shared" si="9"/>
        <v>1010444</v>
      </c>
      <c r="I90" s="14">
        <f>((D90+E90)*C90)+((F90-G90)*(C90/2))-0.13</f>
        <v>225759.995</v>
      </c>
      <c r="J90" s="14">
        <v>226316.84</v>
      </c>
      <c r="K90" s="14">
        <f>H90-I90-0.01</f>
        <v>784683.995</v>
      </c>
    </row>
    <row r="91" spans="1:11" ht="12.75">
      <c r="A91" s="55">
        <f t="shared" si="8"/>
        <v>13</v>
      </c>
      <c r="B91" s="5" t="s">
        <v>569</v>
      </c>
      <c r="C91" s="56">
        <v>0.25</v>
      </c>
      <c r="D91" s="14">
        <v>0</v>
      </c>
      <c r="E91" s="14">
        <v>0</v>
      </c>
      <c r="F91" s="14">
        <v>8813</v>
      </c>
      <c r="G91" s="14">
        <v>0</v>
      </c>
      <c r="H91" s="14">
        <f t="shared" si="9"/>
        <v>8813</v>
      </c>
      <c r="I91" s="14">
        <f>((D91+E91)*C91)+(F91*(C91/2))+0.37</f>
        <v>1101.995</v>
      </c>
      <c r="J91" s="14">
        <v>0</v>
      </c>
      <c r="K91" s="14">
        <f>H91-I91-0.01</f>
        <v>7710.995</v>
      </c>
    </row>
    <row r="92" spans="1:11" ht="12.75">
      <c r="A92" s="55">
        <f t="shared" si="8"/>
        <v>14</v>
      </c>
      <c r="B92" s="5" t="s">
        <v>570</v>
      </c>
      <c r="C92" s="56">
        <v>0.25</v>
      </c>
      <c r="D92" s="14">
        <v>0</v>
      </c>
      <c r="E92" s="14">
        <v>0</v>
      </c>
      <c r="F92" s="14">
        <v>18253</v>
      </c>
      <c r="G92" s="14">
        <v>0</v>
      </c>
      <c r="H92" s="14">
        <f t="shared" si="9"/>
        <v>18253</v>
      </c>
      <c r="I92" s="14">
        <f>((D92+E92)*C92)+(F92*(C92/2))+0.37</f>
        <v>2281.995</v>
      </c>
      <c r="J92" s="14">
        <v>0</v>
      </c>
      <c r="K92" s="14">
        <f>H92-I92-0.01</f>
        <v>15970.995</v>
      </c>
    </row>
    <row r="93" spans="1:11" ht="12.75">
      <c r="A93" s="55">
        <f t="shared" si="8"/>
        <v>15</v>
      </c>
      <c r="B93" s="5" t="s">
        <v>571</v>
      </c>
      <c r="C93" s="56">
        <v>0.25</v>
      </c>
      <c r="D93" s="14">
        <v>1250310.71</v>
      </c>
      <c r="E93" s="14">
        <v>128265</v>
      </c>
      <c r="F93" s="14">
        <v>431095</v>
      </c>
      <c r="G93" s="14">
        <v>0</v>
      </c>
      <c r="H93" s="14">
        <f t="shared" si="9"/>
        <v>1809670.71</v>
      </c>
      <c r="I93" s="14">
        <f>((D93+E93)*C93)+(F93*(C93/2))+0.01-0.1</f>
        <v>398530.7125</v>
      </c>
      <c r="J93" s="14">
        <v>347262.74</v>
      </c>
      <c r="K93" s="14">
        <f aca="true" t="shared" si="10" ref="K93:K98">H93-I93</f>
        <v>1411139.9975</v>
      </c>
    </row>
    <row r="94" spans="1:11" ht="12.75">
      <c r="A94" s="55">
        <f t="shared" si="8"/>
        <v>16</v>
      </c>
      <c r="B94" s="5" t="s">
        <v>572</v>
      </c>
      <c r="C94" s="56">
        <v>0.25</v>
      </c>
      <c r="D94" s="14">
        <v>2788.17</v>
      </c>
      <c r="E94" s="14">
        <v>545</v>
      </c>
      <c r="F94" s="14">
        <v>0</v>
      </c>
      <c r="G94" s="14">
        <v>0</v>
      </c>
      <c r="H94" s="14">
        <f t="shared" si="9"/>
        <v>3333.17</v>
      </c>
      <c r="I94" s="14">
        <f>((D94+E94)*C94)+(F94*(C94/2))-0.12</f>
        <v>833.1725</v>
      </c>
      <c r="J94" s="14">
        <v>929.39</v>
      </c>
      <c r="K94" s="14">
        <f t="shared" si="10"/>
        <v>2499.9975</v>
      </c>
    </row>
    <row r="95" spans="1:11" ht="12.75">
      <c r="A95" s="55">
        <f t="shared" si="8"/>
        <v>17</v>
      </c>
      <c r="B95" s="5" t="s">
        <v>573</v>
      </c>
      <c r="C95" s="56">
        <v>0.25</v>
      </c>
      <c r="D95" s="14">
        <v>84738.3</v>
      </c>
      <c r="E95" s="14">
        <v>0</v>
      </c>
      <c r="F95" s="14">
        <v>75625</v>
      </c>
      <c r="G95" s="14">
        <v>0</v>
      </c>
      <c r="H95" s="14">
        <f t="shared" si="9"/>
        <v>160363.3</v>
      </c>
      <c r="I95" s="14">
        <f>((D95+E95)*C95)+(F95*(C95/2))-0.4</f>
        <v>30637.3</v>
      </c>
      <c r="J95" s="14">
        <v>13368.58</v>
      </c>
      <c r="K95" s="14">
        <f t="shared" si="10"/>
        <v>129725.99999999999</v>
      </c>
    </row>
    <row r="96" spans="1:11" ht="12.75">
      <c r="A96" s="55">
        <f t="shared" si="8"/>
        <v>18</v>
      </c>
      <c r="B96" s="5" t="s">
        <v>574</v>
      </c>
      <c r="C96" s="56">
        <v>0.25</v>
      </c>
      <c r="D96" s="14">
        <v>460050.12</v>
      </c>
      <c r="E96" s="14">
        <v>86305</v>
      </c>
      <c r="F96" s="14">
        <v>0</v>
      </c>
      <c r="G96" s="14">
        <v>0</v>
      </c>
      <c r="H96" s="14">
        <f t="shared" si="9"/>
        <v>546355.12</v>
      </c>
      <c r="I96" s="14">
        <f>((D96+E96)*C96)+(F96*(C96/2))+0.34</f>
        <v>136589.12</v>
      </c>
      <c r="J96" s="14">
        <v>153350.04</v>
      </c>
      <c r="K96" s="14">
        <f t="shared" si="10"/>
        <v>409766</v>
      </c>
    </row>
    <row r="97" spans="1:11" ht="12.75">
      <c r="A97" s="55">
        <f t="shared" si="8"/>
        <v>19</v>
      </c>
      <c r="B97" s="5" t="s">
        <v>575</v>
      </c>
      <c r="C97" s="56">
        <v>0.25</v>
      </c>
      <c r="D97" s="14">
        <v>20062.03</v>
      </c>
      <c r="E97" s="14">
        <v>0</v>
      </c>
      <c r="F97" s="14">
        <v>19487</v>
      </c>
      <c r="G97" s="14">
        <v>0</v>
      </c>
      <c r="H97" s="14">
        <f t="shared" si="9"/>
        <v>39549.03</v>
      </c>
      <c r="I97" s="14">
        <f>((D97+E97)*C97)+(F97*(C97/2))-0.35</f>
        <v>7451.032499999999</v>
      </c>
      <c r="J97" s="14">
        <v>6687.34</v>
      </c>
      <c r="K97" s="14">
        <f t="shared" si="10"/>
        <v>32097.997499999998</v>
      </c>
    </row>
    <row r="98" spans="1:11" ht="12.75">
      <c r="A98" s="55">
        <f t="shared" si="8"/>
        <v>20</v>
      </c>
      <c r="B98" s="5" t="s">
        <v>616</v>
      </c>
      <c r="C98" s="56">
        <v>0.25</v>
      </c>
      <c r="D98" s="14">
        <v>111744.15</v>
      </c>
      <c r="E98" s="14">
        <v>110000</v>
      </c>
      <c r="F98" s="14">
        <v>28000</v>
      </c>
      <c r="G98" s="14">
        <v>0</v>
      </c>
      <c r="H98" s="14">
        <f t="shared" si="9"/>
        <v>249744.15</v>
      </c>
      <c r="I98" s="14">
        <f>((D98+E98)*C98)+(F98*(C98/2))-0.01+0.12</f>
        <v>58936.1475</v>
      </c>
      <c r="J98" s="14">
        <v>37248.05</v>
      </c>
      <c r="K98" s="14">
        <f t="shared" si="10"/>
        <v>190808.0025</v>
      </c>
    </row>
    <row r="99" spans="1:11" ht="12.75">
      <c r="A99" s="55">
        <f t="shared" si="8"/>
        <v>21</v>
      </c>
      <c r="B99" s="5" t="s">
        <v>576</v>
      </c>
      <c r="C99" s="56">
        <v>0.25</v>
      </c>
      <c r="D99" s="14">
        <v>3073.1</v>
      </c>
      <c r="E99" s="14">
        <v>25000</v>
      </c>
      <c r="F99" s="14">
        <v>0</v>
      </c>
      <c r="G99" s="14">
        <v>0</v>
      </c>
      <c r="H99" s="14">
        <f t="shared" si="9"/>
        <v>28073.1</v>
      </c>
      <c r="I99" s="14">
        <f>((D99+E99)*C99)+(F99*(C99/2))-0.01-0.17</f>
        <v>7018.094999999999</v>
      </c>
      <c r="J99" s="14">
        <v>1024.36</v>
      </c>
      <c r="K99" s="14">
        <f>H99-I99-0.01</f>
        <v>21054.995</v>
      </c>
    </row>
    <row r="100" spans="1:11" ht="12.75">
      <c r="A100" s="55">
        <f t="shared" si="8"/>
        <v>22</v>
      </c>
      <c r="B100" s="5" t="s">
        <v>577</v>
      </c>
      <c r="C100" s="56">
        <v>0.2</v>
      </c>
      <c r="D100" s="14">
        <v>201545.81</v>
      </c>
      <c r="E100" s="14">
        <v>0</v>
      </c>
      <c r="F100" s="14">
        <v>0</v>
      </c>
      <c r="G100" s="14">
        <v>0</v>
      </c>
      <c r="H100" s="14">
        <f t="shared" si="9"/>
        <v>201545.81</v>
      </c>
      <c r="I100" s="14">
        <f>((D100+E100)*C100)+(F100*(C100/2))-0.35</f>
        <v>40308.812000000005</v>
      </c>
      <c r="J100" s="14">
        <v>50386.45</v>
      </c>
      <c r="K100" s="14">
        <f aca="true" t="shared" si="11" ref="K100:K112">H100-I100</f>
        <v>161236.998</v>
      </c>
    </row>
    <row r="101" spans="1:11" ht="12.75">
      <c r="A101" s="55">
        <f t="shared" si="8"/>
        <v>23</v>
      </c>
      <c r="B101" s="5" t="s">
        <v>578</v>
      </c>
      <c r="C101" s="56">
        <v>0.2</v>
      </c>
      <c r="D101" s="14">
        <v>192469.53</v>
      </c>
      <c r="E101" s="14">
        <v>0</v>
      </c>
      <c r="F101" s="14">
        <v>0</v>
      </c>
      <c r="G101" s="14">
        <v>0</v>
      </c>
      <c r="H101" s="14">
        <f t="shared" si="9"/>
        <v>192469.53</v>
      </c>
      <c r="I101" s="14">
        <f>((D101+E101)*C101)+(F101*(C101/2))-0.38</f>
        <v>38493.526000000005</v>
      </c>
      <c r="J101" s="14">
        <v>48117.38</v>
      </c>
      <c r="K101" s="14">
        <f t="shared" si="11"/>
        <v>153976.004</v>
      </c>
    </row>
    <row r="102" spans="1:11" ht="12.75">
      <c r="A102" s="55">
        <f t="shared" si="8"/>
        <v>24</v>
      </c>
      <c r="B102" s="5" t="s">
        <v>579</v>
      </c>
      <c r="C102" s="56">
        <v>0.2</v>
      </c>
      <c r="D102" s="14">
        <v>501692.4</v>
      </c>
      <c r="E102" s="14">
        <v>0</v>
      </c>
      <c r="F102" s="14">
        <v>0</v>
      </c>
      <c r="G102" s="14">
        <v>0</v>
      </c>
      <c r="H102" s="14">
        <f t="shared" si="9"/>
        <v>501692.4</v>
      </c>
      <c r="I102" s="14">
        <f>((D102+E102)*C102)+(F102*(C102/2))-0.08</f>
        <v>100338.40000000001</v>
      </c>
      <c r="J102" s="14">
        <v>125423.1</v>
      </c>
      <c r="K102" s="14">
        <f t="shared" si="11"/>
        <v>401354</v>
      </c>
    </row>
    <row r="103" spans="1:11" ht="12.75">
      <c r="A103" s="55">
        <f t="shared" si="8"/>
        <v>25</v>
      </c>
      <c r="B103" s="5" t="s">
        <v>580</v>
      </c>
      <c r="C103" s="56">
        <v>0.2</v>
      </c>
      <c r="D103" s="14">
        <v>0</v>
      </c>
      <c r="E103" s="14">
        <v>0</v>
      </c>
      <c r="F103" s="14">
        <v>1067825</v>
      </c>
      <c r="G103" s="14">
        <v>0</v>
      </c>
      <c r="H103" s="14">
        <f t="shared" si="9"/>
        <v>1067825</v>
      </c>
      <c r="I103" s="14">
        <f>((D103+E103)*C103)+(F103*(C103/2))+0.5</f>
        <v>106783</v>
      </c>
      <c r="J103" s="14">
        <v>0</v>
      </c>
      <c r="K103" s="14">
        <f t="shared" si="11"/>
        <v>961042</v>
      </c>
    </row>
    <row r="104" spans="1:11" ht="12.75">
      <c r="A104" s="55">
        <f t="shared" si="8"/>
        <v>26</v>
      </c>
      <c r="B104" s="5" t="s">
        <v>581</v>
      </c>
      <c r="C104" s="56">
        <v>0.2</v>
      </c>
      <c r="D104" s="14">
        <v>0</v>
      </c>
      <c r="E104" s="14">
        <v>0</v>
      </c>
      <c r="F104" s="14">
        <v>1067825</v>
      </c>
      <c r="G104" s="14">
        <v>0</v>
      </c>
      <c r="H104" s="14">
        <f t="shared" si="9"/>
        <v>1067825</v>
      </c>
      <c r="I104" s="14">
        <f>((D104+E104)*C104)+(F104*(C104/2))+0.5</f>
        <v>106783</v>
      </c>
      <c r="J104" s="14">
        <v>0</v>
      </c>
      <c r="K104" s="14">
        <f t="shared" si="11"/>
        <v>961042</v>
      </c>
    </row>
    <row r="105" spans="1:11" ht="12.75">
      <c r="A105" s="55">
        <f t="shared" si="8"/>
        <v>27</v>
      </c>
      <c r="B105" s="5" t="s">
        <v>582</v>
      </c>
      <c r="C105" s="56">
        <v>0.2</v>
      </c>
      <c r="D105" s="14">
        <v>0</v>
      </c>
      <c r="E105" s="14">
        <v>0</v>
      </c>
      <c r="F105" s="14">
        <v>1067820</v>
      </c>
      <c r="G105" s="14">
        <v>0</v>
      </c>
      <c r="H105" s="14">
        <f t="shared" si="9"/>
        <v>1067820</v>
      </c>
      <c r="I105" s="14">
        <f>((D105+E105)*C105)+(F105*(C105/2))</f>
        <v>106782</v>
      </c>
      <c r="J105" s="14">
        <v>0</v>
      </c>
      <c r="K105" s="14">
        <f t="shared" si="11"/>
        <v>961038</v>
      </c>
    </row>
    <row r="106" spans="1:11" ht="12.75">
      <c r="A106" s="55">
        <f t="shared" si="8"/>
        <v>28</v>
      </c>
      <c r="B106" s="5" t="s">
        <v>583</v>
      </c>
      <c r="C106" s="56">
        <v>0.2</v>
      </c>
      <c r="D106" s="14">
        <v>0</v>
      </c>
      <c r="E106" s="14">
        <v>0</v>
      </c>
      <c r="F106" s="14">
        <v>1069840</v>
      </c>
      <c r="G106" s="14">
        <v>0</v>
      </c>
      <c r="H106" s="14">
        <f t="shared" si="9"/>
        <v>1069840</v>
      </c>
      <c r="I106" s="14">
        <f>((D106+E106)*C106)+(F106*(C106/2))</f>
        <v>106984</v>
      </c>
      <c r="J106" s="14">
        <v>0</v>
      </c>
      <c r="K106" s="14">
        <f t="shared" si="11"/>
        <v>962856</v>
      </c>
    </row>
    <row r="107" spans="1:11" ht="12.75">
      <c r="A107" s="55">
        <f t="shared" si="8"/>
        <v>29</v>
      </c>
      <c r="B107" s="5" t="s">
        <v>584</v>
      </c>
      <c r="C107" s="56">
        <v>0.2</v>
      </c>
      <c r="D107" s="14">
        <v>0</v>
      </c>
      <c r="E107" s="14">
        <v>0</v>
      </c>
      <c r="F107" s="14">
        <v>1069940</v>
      </c>
      <c r="G107" s="14">
        <v>0</v>
      </c>
      <c r="H107" s="14">
        <f t="shared" si="9"/>
        <v>1069940</v>
      </c>
      <c r="I107" s="14">
        <f>((D107+E107)*C107)+(F107*(C107/2))</f>
        <v>106994</v>
      </c>
      <c r="J107" s="14">
        <v>0</v>
      </c>
      <c r="K107" s="14">
        <f t="shared" si="11"/>
        <v>962946</v>
      </c>
    </row>
    <row r="108" spans="1:11" ht="12.75">
      <c r="A108" s="55">
        <f t="shared" si="8"/>
        <v>30</v>
      </c>
      <c r="B108" s="5" t="s">
        <v>585</v>
      </c>
      <c r="C108" s="56">
        <v>0.2</v>
      </c>
      <c r="D108" s="14">
        <v>0</v>
      </c>
      <c r="E108" s="14">
        <v>0</v>
      </c>
      <c r="F108" s="14">
        <v>1069940</v>
      </c>
      <c r="G108" s="14">
        <v>0</v>
      </c>
      <c r="H108" s="14">
        <f t="shared" si="9"/>
        <v>1069940</v>
      </c>
      <c r="I108" s="14">
        <f>((D108+E108)*C108)+(F108*(C108/2))</f>
        <v>106994</v>
      </c>
      <c r="J108" s="14">
        <v>0</v>
      </c>
      <c r="K108" s="14">
        <f t="shared" si="11"/>
        <v>962946</v>
      </c>
    </row>
    <row r="109" spans="1:11" ht="12.75">
      <c r="A109" s="55">
        <f t="shared" si="8"/>
        <v>31</v>
      </c>
      <c r="B109" s="5" t="s">
        <v>586</v>
      </c>
      <c r="C109" s="56">
        <v>0.2</v>
      </c>
      <c r="D109" s="14">
        <v>0</v>
      </c>
      <c r="E109" s="14">
        <v>0</v>
      </c>
      <c r="F109" s="14">
        <v>1069940</v>
      </c>
      <c r="G109" s="14">
        <v>0</v>
      </c>
      <c r="H109" s="14">
        <f t="shared" si="9"/>
        <v>1069940</v>
      </c>
      <c r="I109" s="14">
        <f>((D109+E109)*C109)+(F109*(C109/2))</f>
        <v>106994</v>
      </c>
      <c r="J109" s="14">
        <v>0</v>
      </c>
      <c r="K109" s="14">
        <f t="shared" si="11"/>
        <v>962946</v>
      </c>
    </row>
    <row r="110" spans="1:11" ht="12.75">
      <c r="A110" s="55">
        <f t="shared" si="8"/>
        <v>32</v>
      </c>
      <c r="B110" s="5" t="s">
        <v>587</v>
      </c>
      <c r="C110" s="56">
        <v>0.25</v>
      </c>
      <c r="D110" s="14">
        <v>51786</v>
      </c>
      <c r="E110" s="14">
        <v>48285</v>
      </c>
      <c r="F110" s="14">
        <v>0</v>
      </c>
      <c r="G110" s="14">
        <v>0</v>
      </c>
      <c r="H110" s="14">
        <f t="shared" si="9"/>
        <v>100071</v>
      </c>
      <c r="I110" s="14">
        <f>((D110+E110)*C110)+(F110*(C110/2))+0.25</f>
        <v>25018</v>
      </c>
      <c r="J110" s="14">
        <v>17262</v>
      </c>
      <c r="K110" s="14">
        <f t="shared" si="11"/>
        <v>75053</v>
      </c>
    </row>
    <row r="111" spans="1:11" ht="12.75">
      <c r="A111" s="55">
        <f t="shared" si="8"/>
        <v>33</v>
      </c>
      <c r="B111" s="5" t="s">
        <v>618</v>
      </c>
      <c r="C111" s="56">
        <v>0.25</v>
      </c>
      <c r="D111" s="14">
        <v>58846.63</v>
      </c>
      <c r="E111" s="14">
        <v>44357</v>
      </c>
      <c r="F111" s="14">
        <v>0</v>
      </c>
      <c r="G111" s="14">
        <v>0</v>
      </c>
      <c r="H111" s="14">
        <f t="shared" si="9"/>
        <v>103203.63</v>
      </c>
      <c r="I111" s="14">
        <f>((D111+E111)*C111)+(F111*(C111/2))-0.28</f>
        <v>25800.627500000002</v>
      </c>
      <c r="J111" s="14">
        <v>17698.87</v>
      </c>
      <c r="K111" s="14">
        <f t="shared" si="11"/>
        <v>77403.0025</v>
      </c>
    </row>
    <row r="112" spans="1:11" ht="12.75">
      <c r="A112" s="55">
        <f t="shared" si="8"/>
        <v>34</v>
      </c>
      <c r="B112" s="5" t="s">
        <v>588</v>
      </c>
      <c r="C112" s="56">
        <v>0.25</v>
      </c>
      <c r="D112" s="14">
        <v>0</v>
      </c>
      <c r="E112" s="14">
        <v>0</v>
      </c>
      <c r="F112" s="14">
        <v>48204</v>
      </c>
      <c r="G112" s="14">
        <v>0</v>
      </c>
      <c r="H112" s="14">
        <f>SUM(D112:F112)-G112</f>
        <v>48204</v>
      </c>
      <c r="I112" s="14">
        <f>((D112+E112)*C112)+(F112*(C112/2))+0.5</f>
        <v>6026</v>
      </c>
      <c r="J112" s="14">
        <v>0</v>
      </c>
      <c r="K112" s="14">
        <f t="shared" si="11"/>
        <v>42178</v>
      </c>
    </row>
    <row r="113" spans="1:11" ht="12.75">
      <c r="A113" s="55">
        <f t="shared" si="8"/>
        <v>35</v>
      </c>
      <c r="B113" s="5" t="s">
        <v>614</v>
      </c>
      <c r="C113" s="56">
        <v>0.25</v>
      </c>
      <c r="D113" s="14">
        <v>72481.5</v>
      </c>
      <c r="E113" s="14">
        <v>0</v>
      </c>
      <c r="F113" s="14">
        <v>0</v>
      </c>
      <c r="G113" s="14">
        <v>0</v>
      </c>
      <c r="H113" s="14">
        <f>SUM(D113:F113)-G113</f>
        <v>72481.5</v>
      </c>
      <c r="I113" s="14">
        <f>((D113+E113)*C113)+(F113*(C113/2))+0.12</f>
        <v>18120.495</v>
      </c>
      <c r="J113" s="14">
        <v>24160.5</v>
      </c>
      <c r="K113" s="14">
        <f>H113-I113-0.01</f>
        <v>54360.995</v>
      </c>
    </row>
    <row r="114" spans="3:11" ht="12.75">
      <c r="C114" s="56"/>
      <c r="D114" s="14"/>
      <c r="E114" s="14"/>
      <c r="F114" s="14"/>
      <c r="G114" s="14"/>
      <c r="H114" s="14"/>
      <c r="I114" s="14"/>
      <c r="J114" s="14"/>
      <c r="K114" s="14"/>
    </row>
    <row r="115" spans="3:11" ht="12.75">
      <c r="C115" s="56"/>
      <c r="D115" s="34">
        <f>SUM(D79:D113)</f>
        <v>26856924.510000005</v>
      </c>
      <c r="E115" s="34">
        <f>SUM(E79:E113)</f>
        <v>1143880</v>
      </c>
      <c r="F115" s="34">
        <f>SUM(F79:F113)</f>
        <v>9231616</v>
      </c>
      <c r="G115" s="34">
        <f>SUM(G79:G113)</f>
        <v>12750</v>
      </c>
      <c r="H115" s="34">
        <f>SUM(H79:H113)</f>
        <v>37219670.51000001</v>
      </c>
      <c r="I115" s="34">
        <f>SUM(I79:I113)+0.03</f>
        <v>4751501.510500002</v>
      </c>
      <c r="J115" s="34">
        <f>SUM(J79:J113)</f>
        <v>4259951.649999999</v>
      </c>
      <c r="K115" s="34">
        <f>SUM(K79:K113)+0.02</f>
        <v>32468168.999500006</v>
      </c>
    </row>
    <row r="116" spans="1:2" ht="12.75">
      <c r="A116" s="1"/>
      <c r="B116" s="1" t="s">
        <v>38</v>
      </c>
    </row>
    <row r="118" spans="1:11" ht="12.75">
      <c r="A118" s="55">
        <v>1</v>
      </c>
      <c r="B118" s="4" t="s">
        <v>589</v>
      </c>
      <c r="C118" s="56">
        <v>0.1</v>
      </c>
      <c r="D118" s="14">
        <v>0</v>
      </c>
      <c r="E118" s="14">
        <v>0</v>
      </c>
      <c r="F118" s="14">
        <v>695763</v>
      </c>
      <c r="G118" s="14">
        <v>0</v>
      </c>
      <c r="H118" s="14">
        <f aca="true" t="shared" si="12" ref="H118:H130">SUM(D118:F118)-G118</f>
        <v>695763</v>
      </c>
      <c r="I118" s="14">
        <v>0</v>
      </c>
      <c r="J118" s="14">
        <v>0</v>
      </c>
      <c r="K118" s="14">
        <f aca="true" t="shared" si="13" ref="K118:K130">H118-I118</f>
        <v>695763</v>
      </c>
    </row>
    <row r="119" spans="1:11" ht="12.75">
      <c r="A119" s="55">
        <f aca="true" t="shared" si="14" ref="A119:A130">A118+1</f>
        <v>2</v>
      </c>
      <c r="B119" s="4" t="s">
        <v>590</v>
      </c>
      <c r="C119" s="56">
        <v>0.6</v>
      </c>
      <c r="D119" s="14">
        <v>0</v>
      </c>
      <c r="E119" s="14">
        <v>370029</v>
      </c>
      <c r="F119" s="14">
        <v>0</v>
      </c>
      <c r="G119" s="14">
        <v>0</v>
      </c>
      <c r="H119" s="14">
        <f t="shared" si="12"/>
        <v>370029</v>
      </c>
      <c r="I119" s="14">
        <f>((D119+E119)*C119)+(F119*(C119/2))-0.4</f>
        <v>222017</v>
      </c>
      <c r="J119" s="14">
        <v>0</v>
      </c>
      <c r="K119" s="14">
        <f t="shared" si="13"/>
        <v>148012</v>
      </c>
    </row>
    <row r="120" spans="1:11" ht="12.75">
      <c r="A120" s="55">
        <f t="shared" si="14"/>
        <v>3</v>
      </c>
      <c r="B120" s="4" t="s">
        <v>591</v>
      </c>
      <c r="C120" s="56">
        <v>0.15</v>
      </c>
      <c r="D120" s="14">
        <v>3998.36</v>
      </c>
      <c r="E120" s="14">
        <v>0</v>
      </c>
      <c r="F120" s="14">
        <v>0</v>
      </c>
      <c r="G120" s="14">
        <v>0</v>
      </c>
      <c r="H120" s="14">
        <f t="shared" si="12"/>
        <v>3998.36</v>
      </c>
      <c r="I120" s="14">
        <f>((D120+E120)*C120)+(F120*(C120/2))-0.39</f>
        <v>599.364</v>
      </c>
      <c r="J120" s="14">
        <v>705.59</v>
      </c>
      <c r="K120" s="14">
        <f t="shared" si="13"/>
        <v>3398.996</v>
      </c>
    </row>
    <row r="121" spans="1:11" ht="12.75">
      <c r="A121" s="55">
        <f t="shared" si="14"/>
        <v>4</v>
      </c>
      <c r="B121" s="4" t="s">
        <v>592</v>
      </c>
      <c r="C121" s="56">
        <v>0</v>
      </c>
      <c r="D121" s="14">
        <v>6199555</v>
      </c>
      <c r="E121" s="14">
        <v>0</v>
      </c>
      <c r="F121" s="14">
        <v>0</v>
      </c>
      <c r="G121" s="14">
        <v>0</v>
      </c>
      <c r="H121" s="14">
        <f t="shared" si="12"/>
        <v>6199555</v>
      </c>
      <c r="I121" s="14">
        <f>((D121+E121)*C121)+(F121*(C121/2))</f>
        <v>0</v>
      </c>
      <c r="J121" s="14">
        <v>0</v>
      </c>
      <c r="K121" s="14">
        <f t="shared" si="13"/>
        <v>6199555</v>
      </c>
    </row>
    <row r="122" spans="1:11" ht="12.75">
      <c r="A122" s="55">
        <f t="shared" si="14"/>
        <v>5</v>
      </c>
      <c r="B122" s="4" t="s">
        <v>593</v>
      </c>
      <c r="C122" s="56">
        <v>0.25</v>
      </c>
      <c r="D122" s="14">
        <v>20.83</v>
      </c>
      <c r="E122" s="14">
        <f>83.15+53.83+92.56+400.46</f>
        <v>630</v>
      </c>
      <c r="F122" s="14">
        <v>0</v>
      </c>
      <c r="G122" s="14">
        <v>0</v>
      </c>
      <c r="H122" s="14">
        <f t="shared" si="12"/>
        <v>650.83</v>
      </c>
      <c r="I122" s="14">
        <f>((D122+E122)*C122)+(F122*(C122/2))+0.12</f>
        <v>162.82750000000001</v>
      </c>
      <c r="J122" s="14">
        <v>6.95</v>
      </c>
      <c r="K122" s="14">
        <f t="shared" si="13"/>
        <v>488.00250000000005</v>
      </c>
    </row>
    <row r="123" spans="1:11" ht="12.75">
      <c r="A123" s="55">
        <f t="shared" si="14"/>
        <v>6</v>
      </c>
      <c r="B123" s="4" t="s">
        <v>594</v>
      </c>
      <c r="C123" s="56">
        <v>0.25</v>
      </c>
      <c r="D123" s="14">
        <v>125560.31</v>
      </c>
      <c r="E123" s="14">
        <v>0</v>
      </c>
      <c r="F123" s="14">
        <v>0</v>
      </c>
      <c r="G123" s="14">
        <v>0</v>
      </c>
      <c r="H123" s="14">
        <f t="shared" si="12"/>
        <v>125560.31</v>
      </c>
      <c r="I123" s="14">
        <f>((D123+E123)*C123)+(F123*(C123/2))+0.23</f>
        <v>31390.3075</v>
      </c>
      <c r="J123" s="14">
        <v>41853.44</v>
      </c>
      <c r="K123" s="14">
        <f t="shared" si="13"/>
        <v>94170.0025</v>
      </c>
    </row>
    <row r="124" spans="1:11" ht="12.75">
      <c r="A124" s="55">
        <f t="shared" si="14"/>
        <v>7</v>
      </c>
      <c r="B124" s="4" t="s">
        <v>595</v>
      </c>
      <c r="C124" s="56">
        <v>0.2</v>
      </c>
      <c r="D124" s="14">
        <v>3829.65</v>
      </c>
      <c r="E124" s="14">
        <v>0</v>
      </c>
      <c r="F124" s="14">
        <v>0</v>
      </c>
      <c r="G124" s="14">
        <v>0</v>
      </c>
      <c r="H124" s="14">
        <f t="shared" si="12"/>
        <v>3829.65</v>
      </c>
      <c r="I124" s="14">
        <f>((D124+E124)*C124)+(F124*(C124/2))-0.28</f>
        <v>765.6500000000001</v>
      </c>
      <c r="J124" s="14">
        <v>957.4</v>
      </c>
      <c r="K124" s="14">
        <f t="shared" si="13"/>
        <v>3064</v>
      </c>
    </row>
    <row r="125" spans="1:11" ht="12.75">
      <c r="A125" s="55">
        <f t="shared" si="14"/>
        <v>8</v>
      </c>
      <c r="B125" s="4" t="s">
        <v>596</v>
      </c>
      <c r="C125" s="56">
        <v>0.2</v>
      </c>
      <c r="D125" s="14">
        <v>0</v>
      </c>
      <c r="E125" s="14">
        <v>0</v>
      </c>
      <c r="F125" s="14">
        <v>602733</v>
      </c>
      <c r="G125" s="14">
        <v>0</v>
      </c>
      <c r="H125" s="14">
        <f t="shared" si="12"/>
        <v>602733</v>
      </c>
      <c r="I125" s="14">
        <f>((D125+E125)*C125)+(F125*(C125/2))-0.3</f>
        <v>60273</v>
      </c>
      <c r="J125" s="14">
        <v>0</v>
      </c>
      <c r="K125" s="14">
        <f t="shared" si="13"/>
        <v>542460</v>
      </c>
    </row>
    <row r="126" spans="1:11" ht="12.75">
      <c r="A126" s="55">
        <f t="shared" si="14"/>
        <v>9</v>
      </c>
      <c r="B126" s="4" t="s">
        <v>597</v>
      </c>
      <c r="C126" s="56">
        <v>0.25</v>
      </c>
      <c r="D126" s="14">
        <v>0</v>
      </c>
      <c r="E126" s="14">
        <v>976953</v>
      </c>
      <c r="F126" s="14">
        <v>53190</v>
      </c>
      <c r="G126" s="14">
        <v>12996</v>
      </c>
      <c r="H126" s="14">
        <f t="shared" si="12"/>
        <v>1017147</v>
      </c>
      <c r="I126" s="14">
        <f>((D126+E126)*C126)+((F126-G126)*(C126/2))+0.5</f>
        <v>249263</v>
      </c>
      <c r="J126" s="14">
        <v>0</v>
      </c>
      <c r="K126" s="14">
        <f t="shared" si="13"/>
        <v>767884</v>
      </c>
    </row>
    <row r="127" spans="1:11" ht="12.75">
      <c r="A127" s="55">
        <f t="shared" si="14"/>
        <v>10</v>
      </c>
      <c r="B127" s="4" t="s">
        <v>598</v>
      </c>
      <c r="C127" s="56">
        <v>0.25</v>
      </c>
      <c r="D127" s="14">
        <v>83.15</v>
      </c>
      <c r="E127" s="14">
        <v>0</v>
      </c>
      <c r="F127" s="14">
        <v>0</v>
      </c>
      <c r="G127" s="14">
        <v>83.15</v>
      </c>
      <c r="H127" s="14">
        <f t="shared" si="12"/>
        <v>0</v>
      </c>
      <c r="I127" s="14">
        <v>0</v>
      </c>
      <c r="J127" s="14">
        <v>27.72</v>
      </c>
      <c r="K127" s="14">
        <f t="shared" si="13"/>
        <v>0</v>
      </c>
    </row>
    <row r="128" spans="1:11" ht="12.75">
      <c r="A128" s="55">
        <f t="shared" si="14"/>
        <v>11</v>
      </c>
      <c r="B128" s="4" t="s">
        <v>599</v>
      </c>
      <c r="C128" s="56">
        <v>0.25</v>
      </c>
      <c r="D128" s="14">
        <v>53.83</v>
      </c>
      <c r="E128" s="14">
        <v>0</v>
      </c>
      <c r="F128" s="14">
        <v>0</v>
      </c>
      <c r="G128" s="14">
        <v>53.83</v>
      </c>
      <c r="H128" s="14">
        <f t="shared" si="12"/>
        <v>0</v>
      </c>
      <c r="I128" s="14">
        <v>0</v>
      </c>
      <c r="J128" s="14">
        <v>17.95</v>
      </c>
      <c r="K128" s="14">
        <f t="shared" si="13"/>
        <v>0</v>
      </c>
    </row>
    <row r="129" spans="1:11" ht="12.75">
      <c r="A129" s="55">
        <f t="shared" si="14"/>
        <v>12</v>
      </c>
      <c r="B129" s="4" t="s">
        <v>600</v>
      </c>
      <c r="C129" s="56">
        <v>0.25</v>
      </c>
      <c r="D129" s="14">
        <v>92.56</v>
      </c>
      <c r="E129" s="14">
        <v>0</v>
      </c>
      <c r="F129" s="14">
        <v>0</v>
      </c>
      <c r="G129" s="14">
        <v>92.56</v>
      </c>
      <c r="H129" s="14">
        <f t="shared" si="12"/>
        <v>0</v>
      </c>
      <c r="I129" s="14">
        <v>0</v>
      </c>
      <c r="J129" s="14">
        <v>30.85</v>
      </c>
      <c r="K129" s="14">
        <f t="shared" si="13"/>
        <v>0</v>
      </c>
    </row>
    <row r="130" spans="1:11" ht="12.75">
      <c r="A130" s="55">
        <f t="shared" si="14"/>
        <v>13</v>
      </c>
      <c r="B130" s="4" t="s">
        <v>601</v>
      </c>
      <c r="C130" s="56">
        <v>0.25</v>
      </c>
      <c r="D130" s="14">
        <v>400.46</v>
      </c>
      <c r="E130" s="14">
        <v>0</v>
      </c>
      <c r="F130" s="14">
        <v>0</v>
      </c>
      <c r="G130" s="14">
        <v>400.46</v>
      </c>
      <c r="H130" s="14">
        <f t="shared" si="12"/>
        <v>0</v>
      </c>
      <c r="I130" s="14">
        <v>0</v>
      </c>
      <c r="J130" s="14">
        <v>133.49</v>
      </c>
      <c r="K130" s="14">
        <f t="shared" si="13"/>
        <v>0</v>
      </c>
    </row>
    <row r="131" spans="2:11" ht="12.75">
      <c r="B131" s="58"/>
      <c r="C131" s="56"/>
      <c r="D131" s="14"/>
      <c r="E131" s="14"/>
      <c r="F131" s="14"/>
      <c r="G131" s="14"/>
      <c r="H131" s="14"/>
      <c r="I131" s="14"/>
      <c r="J131" s="14"/>
      <c r="K131" s="14"/>
    </row>
    <row r="132" spans="2:11" ht="12.75">
      <c r="B132" s="58"/>
      <c r="C132" s="72" t="s">
        <v>8</v>
      </c>
      <c r="D132" s="34">
        <f aca="true" t="shared" si="15" ref="D132:K132">SUM(D118:D130)</f>
        <v>6333594.15</v>
      </c>
      <c r="E132" s="34">
        <f t="shared" si="15"/>
        <v>1347612</v>
      </c>
      <c r="F132" s="34">
        <f t="shared" si="15"/>
        <v>1351686</v>
      </c>
      <c r="G132" s="34">
        <f t="shared" si="15"/>
        <v>13625.999999999998</v>
      </c>
      <c r="H132" s="34">
        <f t="shared" si="15"/>
        <v>9019266.15</v>
      </c>
      <c r="I132" s="34">
        <f t="shared" si="15"/>
        <v>564471.149</v>
      </c>
      <c r="J132" s="34">
        <f t="shared" si="15"/>
        <v>43733.39</v>
      </c>
      <c r="K132" s="34">
        <f t="shared" si="15"/>
        <v>8454795.001000002</v>
      </c>
    </row>
    <row r="133" spans="1:2" ht="12.75">
      <c r="A133" s="1"/>
      <c r="B133" s="1" t="s">
        <v>500</v>
      </c>
    </row>
    <row r="135" spans="1:11" ht="12.75">
      <c r="A135" s="55">
        <v>1</v>
      </c>
      <c r="B135" s="5" t="s">
        <v>602</v>
      </c>
      <c r="C135" s="56">
        <v>0.1</v>
      </c>
      <c r="D135" s="14">
        <v>7276917.45</v>
      </c>
      <c r="E135" s="14">
        <v>948185</v>
      </c>
      <c r="F135" s="14">
        <v>877641</v>
      </c>
      <c r="G135" s="14">
        <v>0</v>
      </c>
      <c r="H135" s="14">
        <f aca="true" t="shared" si="16" ref="H135:H146">SUM(D135:F135)-G135</f>
        <v>9102743.45</v>
      </c>
      <c r="I135" s="14">
        <f>((D135+E135)*C135)+(F135*(C135/2))+0.15</f>
        <v>866392.4450000002</v>
      </c>
      <c r="J135" s="14">
        <v>762966.8830000001</v>
      </c>
      <c r="K135" s="14">
        <f>H135-I135-0.01</f>
        <v>8236350.994999999</v>
      </c>
    </row>
    <row r="136" spans="1:11" ht="12.75">
      <c r="A136" s="55">
        <f aca="true" t="shared" si="17" ref="A136:A146">A135+1</f>
        <v>2</v>
      </c>
      <c r="B136" s="5" t="s">
        <v>603</v>
      </c>
      <c r="C136" s="56">
        <v>0.25</v>
      </c>
      <c r="D136" s="14">
        <v>9828.92</v>
      </c>
      <c r="E136" s="14">
        <v>0</v>
      </c>
      <c r="F136" s="14">
        <v>0</v>
      </c>
      <c r="G136" s="14">
        <v>0</v>
      </c>
      <c r="H136" s="14">
        <f t="shared" si="16"/>
        <v>9828.92</v>
      </c>
      <c r="I136" s="14">
        <f>((D136+E136)*C136)+(F136*(C136/2))-0.31</f>
        <v>2456.92</v>
      </c>
      <c r="J136" s="14">
        <v>2705.4725</v>
      </c>
      <c r="K136" s="14">
        <f>H136-I136</f>
        <v>7372</v>
      </c>
    </row>
    <row r="137" spans="1:11" ht="12.75">
      <c r="A137" s="55">
        <f t="shared" si="17"/>
        <v>3</v>
      </c>
      <c r="B137" s="5" t="s">
        <v>604</v>
      </c>
      <c r="C137" s="56">
        <v>0.15</v>
      </c>
      <c r="D137" s="14">
        <v>479808.91</v>
      </c>
      <c r="E137" s="14">
        <v>235456</v>
      </c>
      <c r="F137" s="14">
        <v>18724</v>
      </c>
      <c r="G137" s="14">
        <v>0</v>
      </c>
      <c r="H137" s="14">
        <f t="shared" si="16"/>
        <v>733988.9099999999</v>
      </c>
      <c r="I137" s="14">
        <f>((D137+E137)*C137)+(F137*(C137/2))-0.13</f>
        <v>108693.90649999998</v>
      </c>
      <c r="J137" s="14">
        <v>79550.9835</v>
      </c>
      <c r="K137" s="14">
        <f>H137-I137</f>
        <v>625295.0034999999</v>
      </c>
    </row>
    <row r="138" spans="1:11" ht="12.75">
      <c r="A138" s="55">
        <f t="shared" si="17"/>
        <v>4</v>
      </c>
      <c r="B138" s="5" t="s">
        <v>605</v>
      </c>
      <c r="C138" s="56">
        <v>0.25</v>
      </c>
      <c r="D138" s="14">
        <v>39771.23</v>
      </c>
      <c r="E138" s="14">
        <v>16815</v>
      </c>
      <c r="F138" s="14">
        <v>0</v>
      </c>
      <c r="G138" s="14">
        <v>0</v>
      </c>
      <c r="H138" s="14">
        <f t="shared" si="16"/>
        <v>56586.23</v>
      </c>
      <c r="I138" s="14">
        <f>((D138+E138)*C138)+(F138*(C138/2))-0.33</f>
        <v>14146.2275</v>
      </c>
      <c r="J138" s="14">
        <v>10735.41</v>
      </c>
      <c r="K138" s="14">
        <f>H138-I138</f>
        <v>42440.0025</v>
      </c>
    </row>
    <row r="139" spans="1:11" ht="12.75">
      <c r="A139" s="55">
        <f t="shared" si="17"/>
        <v>5</v>
      </c>
      <c r="B139" s="5" t="s">
        <v>606</v>
      </c>
      <c r="C139" s="56">
        <v>0.25</v>
      </c>
      <c r="D139" s="14">
        <v>95138.02</v>
      </c>
      <c r="E139" s="14">
        <v>47084</v>
      </c>
      <c r="F139" s="14">
        <v>4561</v>
      </c>
      <c r="G139" s="14">
        <v>0</v>
      </c>
      <c r="H139" s="14">
        <f t="shared" si="16"/>
        <v>146783.02000000002</v>
      </c>
      <c r="I139" s="14">
        <f>((D139+E139)*C139)+(F139*(C139/2))+0.39</f>
        <v>36126.020000000004</v>
      </c>
      <c r="J139" s="14">
        <v>25491.352499999997</v>
      </c>
      <c r="K139" s="14">
        <f>H139-I139</f>
        <v>110657.00000000001</v>
      </c>
    </row>
    <row r="140" spans="1:11" ht="12.75">
      <c r="A140" s="55">
        <f t="shared" si="17"/>
        <v>6</v>
      </c>
      <c r="B140" s="5" t="s">
        <v>607</v>
      </c>
      <c r="C140" s="56">
        <v>0.25</v>
      </c>
      <c r="D140" s="14">
        <v>117018.98</v>
      </c>
      <c r="E140" s="14">
        <v>81446</v>
      </c>
      <c r="F140" s="14">
        <v>0</v>
      </c>
      <c r="G140" s="14">
        <v>0</v>
      </c>
      <c r="H140" s="14">
        <f t="shared" si="16"/>
        <v>198464.97999999998</v>
      </c>
      <c r="I140" s="14">
        <f>((D140+E140)*C140)+(F140*(C140/2))-0.27</f>
        <v>49615.975</v>
      </c>
      <c r="J140" s="14">
        <v>39006.3275</v>
      </c>
      <c r="K140" s="14">
        <f>H140-I140-0.01</f>
        <v>148848.99499999997</v>
      </c>
    </row>
    <row r="141" spans="1:11" ht="12.75">
      <c r="A141" s="55">
        <f t="shared" si="17"/>
        <v>7</v>
      </c>
      <c r="B141" s="5" t="s">
        <v>617</v>
      </c>
      <c r="C141" s="56">
        <v>0.25</v>
      </c>
      <c r="D141" s="14">
        <v>25375.08</v>
      </c>
      <c r="E141" s="14">
        <v>0</v>
      </c>
      <c r="F141" s="14">
        <v>0</v>
      </c>
      <c r="G141" s="14">
        <v>0</v>
      </c>
      <c r="H141" s="14">
        <f t="shared" si="16"/>
        <v>25375.08</v>
      </c>
      <c r="I141" s="14">
        <f>((D141+E141)*C141)+(F141*(C141/2))+0.31</f>
        <v>6344.080000000001</v>
      </c>
      <c r="J141" s="14">
        <v>8458.36</v>
      </c>
      <c r="K141" s="14">
        <f>H141-I141</f>
        <v>19031</v>
      </c>
    </row>
    <row r="142" spans="1:11" ht="12.75">
      <c r="A142" s="55">
        <f t="shared" si="17"/>
        <v>8</v>
      </c>
      <c r="B142" s="5" t="s">
        <v>608</v>
      </c>
      <c r="C142" s="56">
        <v>0.25</v>
      </c>
      <c r="D142" s="14">
        <v>177372.28</v>
      </c>
      <c r="E142" s="14">
        <v>0</v>
      </c>
      <c r="F142" s="14">
        <v>298000</v>
      </c>
      <c r="G142" s="14">
        <v>0</v>
      </c>
      <c r="H142" s="14">
        <f t="shared" si="16"/>
        <v>475372.28</v>
      </c>
      <c r="I142" s="14">
        <f>((D142+E142)*C142)+(F142*(C142/2))+0.21</f>
        <v>81593.28000000001</v>
      </c>
      <c r="J142" s="14">
        <v>59124.095</v>
      </c>
      <c r="K142" s="14">
        <f>H142-I142-0</f>
        <v>393779</v>
      </c>
    </row>
    <row r="143" spans="1:11" ht="12.75">
      <c r="A143" s="55">
        <f t="shared" si="17"/>
        <v>9</v>
      </c>
      <c r="B143" s="5" t="s">
        <v>609</v>
      </c>
      <c r="C143" s="56">
        <v>0.25</v>
      </c>
      <c r="D143" s="14">
        <v>2840</v>
      </c>
      <c r="E143" s="14">
        <v>1801</v>
      </c>
      <c r="F143" s="14">
        <v>0</v>
      </c>
      <c r="G143" s="14">
        <v>0</v>
      </c>
      <c r="H143" s="14">
        <f t="shared" si="16"/>
        <v>4641</v>
      </c>
      <c r="I143" s="14">
        <f>((D143+E143)*C143)+(F143*(C143/2))-0.25</f>
        <v>1160</v>
      </c>
      <c r="J143" s="14">
        <v>710</v>
      </c>
      <c r="K143" s="14">
        <f>H143-I143</f>
        <v>3481</v>
      </c>
    </row>
    <row r="144" spans="1:11" ht="12.75">
      <c r="A144" s="55">
        <f t="shared" si="17"/>
        <v>10</v>
      </c>
      <c r="B144" s="5" t="s">
        <v>612</v>
      </c>
      <c r="C144" s="56">
        <v>0.25</v>
      </c>
      <c r="D144" s="14">
        <v>0</v>
      </c>
      <c r="E144" s="14">
        <v>2800</v>
      </c>
      <c r="F144" s="14">
        <v>0</v>
      </c>
      <c r="G144" s="14">
        <v>0</v>
      </c>
      <c r="H144" s="14">
        <f t="shared" si="16"/>
        <v>2800</v>
      </c>
      <c r="I144" s="14">
        <f>((D144+E144)*C144)+(F144*(C144/2))</f>
        <v>700</v>
      </c>
      <c r="J144" s="14">
        <v>0</v>
      </c>
      <c r="K144" s="14">
        <f>H144-I144</f>
        <v>2100</v>
      </c>
    </row>
    <row r="145" spans="1:11" ht="12.75">
      <c r="A145" s="55">
        <f t="shared" si="17"/>
        <v>11</v>
      </c>
      <c r="B145" s="5" t="s">
        <v>610</v>
      </c>
      <c r="C145" s="56">
        <v>0.25</v>
      </c>
      <c r="D145" s="14">
        <v>0</v>
      </c>
      <c r="E145" s="14">
        <v>0</v>
      </c>
      <c r="F145" s="14">
        <v>246200</v>
      </c>
      <c r="G145" s="14">
        <v>0</v>
      </c>
      <c r="H145" s="14">
        <f t="shared" si="16"/>
        <v>246200</v>
      </c>
      <c r="I145" s="14">
        <f>((D145+E145)*C145)+(F145*(C145/2))</f>
        <v>30775</v>
      </c>
      <c r="J145" s="14">
        <v>0</v>
      </c>
      <c r="K145" s="14">
        <f>H145-I145</f>
        <v>215425</v>
      </c>
    </row>
    <row r="146" spans="1:11" ht="12.75">
      <c r="A146" s="55">
        <f t="shared" si="17"/>
        <v>12</v>
      </c>
      <c r="B146" s="5" t="s">
        <v>611</v>
      </c>
      <c r="C146" s="56">
        <v>0.25</v>
      </c>
      <c r="D146" s="14">
        <v>0</v>
      </c>
      <c r="E146" s="14">
        <v>42000</v>
      </c>
      <c r="F146" s="14">
        <v>0</v>
      </c>
      <c r="G146" s="14">
        <v>0</v>
      </c>
      <c r="H146" s="14">
        <f t="shared" si="16"/>
        <v>42000</v>
      </c>
      <c r="I146" s="14">
        <f>((D146+E146)*C146)+(F146*(C146/2))</f>
        <v>10500</v>
      </c>
      <c r="J146" s="14">
        <v>0</v>
      </c>
      <c r="K146" s="14">
        <f>H146-I146</f>
        <v>31500</v>
      </c>
    </row>
    <row r="147" spans="1:11" ht="12.75">
      <c r="A147" s="55"/>
      <c r="C147" s="56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55"/>
      <c r="C148" s="72" t="s">
        <v>8</v>
      </c>
      <c r="D148" s="34">
        <f>SUM(D135:D146)</f>
        <v>8224070.870000001</v>
      </c>
      <c r="E148" s="34">
        <f>SUM(E135:E146)</f>
        <v>1375587</v>
      </c>
      <c r="F148" s="34">
        <f>SUM(F135:F146)</f>
        <v>1445126</v>
      </c>
      <c r="G148" s="34">
        <f>SUM(G135:G146)</f>
        <v>0</v>
      </c>
      <c r="H148" s="34">
        <f>SUM(H135:H146)</f>
        <v>11044783.87</v>
      </c>
      <c r="I148" s="34">
        <f>SUM(I135:I146)+0.02</f>
        <v>1208503.8740000005</v>
      </c>
      <c r="J148" s="34">
        <f>SUM(J135:J146)</f>
        <v>988748.8840000002</v>
      </c>
      <c r="K148" s="34">
        <f>SUM(K135:K146)</f>
        <v>9836279.995999997</v>
      </c>
    </row>
    <row r="149" spans="1:11" ht="12.75">
      <c r="A149" s="55"/>
      <c r="C149" s="56"/>
      <c r="D149" s="14"/>
      <c r="E149" s="14"/>
      <c r="F149" s="14"/>
      <c r="G149" s="14"/>
      <c r="H149" s="14"/>
      <c r="I149" s="14"/>
      <c r="J149" s="14"/>
      <c r="K149" s="14"/>
    </row>
    <row r="150" spans="2:11" ht="12.75">
      <c r="B150" s="2" t="s">
        <v>8</v>
      </c>
      <c r="C150" s="56"/>
      <c r="D150" s="34">
        <f aca="true" t="shared" si="18" ref="D150:K150">D48+D76+D115+D132+D148</f>
        <v>83816044.61000001</v>
      </c>
      <c r="E150" s="34">
        <f t="shared" si="18"/>
        <v>12994008.81</v>
      </c>
      <c r="F150" s="34">
        <f t="shared" si="18"/>
        <v>29210618.05</v>
      </c>
      <c r="G150" s="34">
        <f t="shared" si="18"/>
        <v>38648.18</v>
      </c>
      <c r="H150" s="34">
        <f t="shared" si="18"/>
        <v>125982023.29000002</v>
      </c>
      <c r="I150" s="34">
        <f t="shared" si="18"/>
        <v>14636620.288239727</v>
      </c>
      <c r="J150" s="34">
        <f t="shared" si="18"/>
        <v>11719982.873999998</v>
      </c>
      <c r="K150" s="34">
        <f t="shared" si="18"/>
        <v>111345402.99576028</v>
      </c>
    </row>
    <row r="151" spans="3:11" ht="12.75">
      <c r="C151" s="56"/>
      <c r="D151" s="14"/>
      <c r="E151" s="14"/>
      <c r="F151" s="14"/>
      <c r="G151" s="14"/>
      <c r="H151" s="14"/>
      <c r="I151" s="14"/>
      <c r="J151" s="14"/>
      <c r="K151" s="14"/>
    </row>
    <row r="152" spans="4:11" ht="12.75">
      <c r="D152" s="14"/>
      <c r="E152" s="14"/>
      <c r="F152" s="14"/>
      <c r="G152" s="14"/>
      <c r="H152" s="14"/>
      <c r="I152" s="14"/>
      <c r="J152" s="14"/>
      <c r="K152" s="14"/>
    </row>
    <row r="153" spans="4:11" ht="12.75">
      <c r="D153" s="14"/>
      <c r="E153" s="14"/>
      <c r="F153" s="14"/>
      <c r="G153" s="14"/>
      <c r="H153" s="14"/>
      <c r="I153" s="14"/>
      <c r="J153" s="14"/>
      <c r="K153" s="14"/>
    </row>
    <row r="154" spans="4:11" ht="12.75">
      <c r="D154" s="14"/>
      <c r="E154" s="14"/>
      <c r="F154" s="14"/>
      <c r="G154" s="14"/>
      <c r="H154" s="14"/>
      <c r="I154" s="14"/>
      <c r="J154" s="14"/>
      <c r="K154" s="14"/>
    </row>
    <row r="155" spans="4:11" ht="12.75">
      <c r="D155" s="14"/>
      <c r="E155" s="14"/>
      <c r="F155" s="14"/>
      <c r="G155" s="14"/>
      <c r="H155" s="14"/>
      <c r="I155" s="14"/>
      <c r="J155" s="14"/>
      <c r="K155" s="14"/>
    </row>
    <row r="156" spans="4:11" ht="12.75">
      <c r="D156" s="14"/>
      <c r="E156" s="14"/>
      <c r="F156" s="14"/>
      <c r="G156" s="14"/>
      <c r="H156" s="14"/>
      <c r="I156" s="14"/>
      <c r="J156" s="14"/>
      <c r="K156" s="14"/>
    </row>
    <row r="157" spans="4:11" ht="12.75">
      <c r="D157" s="14"/>
      <c r="E157" s="14"/>
      <c r="F157" s="14"/>
      <c r="G157" s="14"/>
      <c r="H157" s="14"/>
      <c r="I157" s="14"/>
      <c r="J157" s="14"/>
      <c r="K157" s="14"/>
    </row>
    <row r="158" spans="4:11" ht="12.75">
      <c r="D158" s="14"/>
      <c r="E158" s="14"/>
      <c r="F158" s="14"/>
      <c r="G158" s="14"/>
      <c r="H158" s="14"/>
      <c r="I158" s="14"/>
      <c r="J158" s="14"/>
      <c r="K158" s="14"/>
    </row>
    <row r="159" spans="4:11" ht="12.75">
      <c r="D159" s="14"/>
      <c r="E159" s="14"/>
      <c r="F159" s="14"/>
      <c r="G159" s="14"/>
      <c r="H159" s="14"/>
      <c r="I159" s="14"/>
      <c r="J159" s="14"/>
      <c r="K159" s="14"/>
    </row>
    <row r="160" spans="4:11" ht="12.75">
      <c r="D160" s="14"/>
      <c r="E160" s="14"/>
      <c r="F160" s="14"/>
      <c r="G160" s="14"/>
      <c r="H160" s="14"/>
      <c r="I160" s="14"/>
      <c r="J160" s="14"/>
      <c r="K160" s="14"/>
    </row>
    <row r="161" spans="4:11" ht="12.75">
      <c r="D161" s="14"/>
      <c r="E161" s="14"/>
      <c r="F161" s="14"/>
      <c r="G161" s="14"/>
      <c r="H161" s="14"/>
      <c r="I161" s="14"/>
      <c r="J161" s="14"/>
      <c r="K161" s="14"/>
    </row>
    <row r="162" spans="4:11" ht="12.75">
      <c r="D162" s="14"/>
      <c r="E162" s="14"/>
      <c r="F162" s="14"/>
      <c r="G162" s="14"/>
      <c r="H162" s="14"/>
      <c r="I162" s="14"/>
      <c r="J162" s="14"/>
      <c r="K162" s="14"/>
    </row>
    <row r="163" spans="4:11" ht="12.75">
      <c r="D163" s="14"/>
      <c r="E163" s="14"/>
      <c r="F163" s="14"/>
      <c r="G163" s="14"/>
      <c r="H163" s="14"/>
      <c r="I163" s="14"/>
      <c r="J163" s="14"/>
      <c r="K163" s="14"/>
    </row>
    <row r="164" spans="4:11" ht="12.75">
      <c r="D164" s="14"/>
      <c r="E164" s="14"/>
      <c r="F164" s="14"/>
      <c r="G164" s="14"/>
      <c r="H164" s="14"/>
      <c r="I164" s="14"/>
      <c r="J164" s="14"/>
      <c r="K164" s="14"/>
    </row>
    <row r="165" spans="4:11" ht="12.75">
      <c r="D165" s="14"/>
      <c r="E165" s="14"/>
      <c r="F165" s="14"/>
      <c r="G165" s="14"/>
      <c r="H165" s="14"/>
      <c r="I165" s="14"/>
      <c r="J165" s="14"/>
      <c r="K165" s="14"/>
    </row>
    <row r="166" spans="4:11" ht="12.75">
      <c r="D166" s="14"/>
      <c r="E166" s="14"/>
      <c r="F166" s="14"/>
      <c r="G166" s="14"/>
      <c r="H166" s="14"/>
      <c r="I166" s="14"/>
      <c r="J166" s="14"/>
      <c r="K166" s="14"/>
    </row>
    <row r="167" spans="4:11" ht="12.75">
      <c r="D167" s="14"/>
      <c r="E167" s="14"/>
      <c r="F167" s="14"/>
      <c r="G167" s="14"/>
      <c r="H167" s="14"/>
      <c r="I167" s="14"/>
      <c r="J167" s="14"/>
      <c r="K167" s="14"/>
    </row>
    <row r="168" spans="4:11" ht="12.75">
      <c r="D168" s="14"/>
      <c r="E168" s="14"/>
      <c r="F168" s="14"/>
      <c r="G168" s="14"/>
      <c r="H168" s="14"/>
      <c r="I168" s="14"/>
      <c r="J168" s="14"/>
      <c r="K168" s="14"/>
    </row>
    <row r="169" spans="4:11" ht="12.75">
      <c r="D169" s="14"/>
      <c r="E169" s="14"/>
      <c r="F169" s="14"/>
      <c r="G169" s="14"/>
      <c r="H169" s="14"/>
      <c r="I169" s="14"/>
      <c r="J169" s="14"/>
      <c r="K169" s="14"/>
    </row>
    <row r="170" spans="4:11" ht="12.75">
      <c r="D170" s="14"/>
      <c r="E170" s="14"/>
      <c r="F170" s="14"/>
      <c r="G170" s="14"/>
      <c r="H170" s="14"/>
      <c r="I170" s="14"/>
      <c r="J170" s="14"/>
      <c r="K170" s="14"/>
    </row>
    <row r="171" spans="4:11" ht="12.75">
      <c r="D171" s="14"/>
      <c r="E171" s="14"/>
      <c r="F171" s="14"/>
      <c r="G171" s="14"/>
      <c r="H171" s="14"/>
      <c r="I171" s="14"/>
      <c r="J171" s="14"/>
      <c r="K171" s="14"/>
    </row>
    <row r="172" spans="4:16" ht="12.75">
      <c r="D172" s="14"/>
      <c r="E172" s="14"/>
      <c r="F172" s="14"/>
      <c r="G172" s="14"/>
      <c r="H172" s="14"/>
      <c r="I172" s="14"/>
      <c r="J172" s="14"/>
      <c r="K172" s="14"/>
      <c r="P172" s="75"/>
    </row>
    <row r="173" spans="4:16" ht="12.75">
      <c r="D173" s="14"/>
      <c r="E173" s="14"/>
      <c r="F173" s="14"/>
      <c r="G173" s="14"/>
      <c r="H173" s="14"/>
      <c r="I173" s="14"/>
      <c r="J173" s="14"/>
      <c r="K173" s="14"/>
      <c r="P173" s="75"/>
    </row>
    <row r="174" spans="4:16" ht="12.75">
      <c r="D174" s="14"/>
      <c r="E174" s="14"/>
      <c r="F174" s="14"/>
      <c r="G174" s="14"/>
      <c r="H174" s="14"/>
      <c r="I174" s="14"/>
      <c r="J174" s="14"/>
      <c r="K174" s="14"/>
      <c r="P174" s="75"/>
    </row>
    <row r="175" spans="4:16" ht="12.75">
      <c r="D175" s="14"/>
      <c r="E175" s="14"/>
      <c r="F175" s="14"/>
      <c r="G175" s="14"/>
      <c r="H175" s="14"/>
      <c r="I175" s="14"/>
      <c r="J175" s="14"/>
      <c r="K175" s="14"/>
      <c r="P175" s="75"/>
    </row>
    <row r="176" spans="4:16" ht="12.75">
      <c r="D176" s="14"/>
      <c r="E176" s="14"/>
      <c r="F176" s="14"/>
      <c r="G176" s="14"/>
      <c r="H176" s="14"/>
      <c r="I176" s="14"/>
      <c r="J176" s="14"/>
      <c r="K176" s="14"/>
      <c r="P176" s="75"/>
    </row>
    <row r="177" spans="4:16" ht="12.75">
      <c r="D177" s="14"/>
      <c r="E177" s="14"/>
      <c r="F177" s="14"/>
      <c r="G177" s="14"/>
      <c r="H177" s="14"/>
      <c r="I177" s="14"/>
      <c r="J177" s="14"/>
      <c r="K177" s="14"/>
      <c r="P177" s="75"/>
    </row>
    <row r="178" spans="4:16" ht="12.75">
      <c r="D178" s="14"/>
      <c r="E178" s="14"/>
      <c r="F178" s="14"/>
      <c r="G178" s="14"/>
      <c r="H178" s="14"/>
      <c r="I178" s="14"/>
      <c r="J178" s="14"/>
      <c r="K178" s="14"/>
      <c r="P178" s="75"/>
    </row>
    <row r="179" spans="4:16" ht="12.75">
      <c r="D179" s="14"/>
      <c r="E179" s="14"/>
      <c r="F179" s="14"/>
      <c r="G179" s="14"/>
      <c r="H179" s="14"/>
      <c r="I179" s="14"/>
      <c r="J179" s="14"/>
      <c r="K179" s="14"/>
      <c r="P179" s="75"/>
    </row>
    <row r="180" spans="4:16" ht="12.75">
      <c r="D180" s="14"/>
      <c r="E180" s="14"/>
      <c r="F180" s="14"/>
      <c r="G180" s="14"/>
      <c r="H180" s="14"/>
      <c r="I180" s="14"/>
      <c r="J180" s="14"/>
      <c r="K180" s="14"/>
      <c r="P180" s="75"/>
    </row>
    <row r="181" spans="4:16" ht="12.75">
      <c r="D181" s="14"/>
      <c r="E181" s="14"/>
      <c r="F181" s="14"/>
      <c r="G181" s="14"/>
      <c r="H181" s="14"/>
      <c r="I181" s="14"/>
      <c r="J181" s="14"/>
      <c r="K181" s="14"/>
      <c r="P181" s="75"/>
    </row>
    <row r="182" spans="4:16" ht="12.75">
      <c r="D182" s="14"/>
      <c r="E182" s="14"/>
      <c r="F182" s="14"/>
      <c r="G182" s="14"/>
      <c r="H182" s="14"/>
      <c r="I182" s="14"/>
      <c r="J182" s="14"/>
      <c r="K182" s="14"/>
      <c r="P182" s="75"/>
    </row>
    <row r="183" spans="4:16" ht="12.75">
      <c r="D183" s="14"/>
      <c r="E183" s="14"/>
      <c r="F183" s="14"/>
      <c r="G183" s="14"/>
      <c r="H183" s="14"/>
      <c r="I183" s="14"/>
      <c r="J183" s="14"/>
      <c r="K183" s="14"/>
      <c r="P183" s="75"/>
    </row>
    <row r="184" spans="4:16" ht="12.75">
      <c r="D184" s="14"/>
      <c r="E184" s="14"/>
      <c r="F184" s="14"/>
      <c r="G184" s="14"/>
      <c r="H184" s="14"/>
      <c r="I184" s="14"/>
      <c r="J184" s="14"/>
      <c r="K184" s="14"/>
      <c r="P184" s="75"/>
    </row>
    <row r="185" spans="4:16" ht="12.75">
      <c r="D185" s="14"/>
      <c r="E185" s="14"/>
      <c r="F185" s="14"/>
      <c r="G185" s="14"/>
      <c r="H185" s="14"/>
      <c r="I185" s="14"/>
      <c r="J185" s="14"/>
      <c r="K185" s="14"/>
      <c r="P185" s="75"/>
    </row>
    <row r="186" spans="4:16" ht="12.75">
      <c r="D186" s="14"/>
      <c r="E186" s="14"/>
      <c r="F186" s="14"/>
      <c r="G186" s="14"/>
      <c r="H186" s="14"/>
      <c r="I186" s="14"/>
      <c r="J186" s="14"/>
      <c r="K186" s="14"/>
      <c r="P186" s="75"/>
    </row>
    <row r="187" spans="4:16" ht="12.75">
      <c r="D187" s="14"/>
      <c r="E187" s="14"/>
      <c r="F187" s="14"/>
      <c r="G187" s="14"/>
      <c r="H187" s="14"/>
      <c r="I187" s="14"/>
      <c r="J187" s="14"/>
      <c r="K187" s="14"/>
      <c r="P187" s="75"/>
    </row>
    <row r="188" spans="4:16" ht="12.75">
      <c r="D188" s="14"/>
      <c r="E188" s="14"/>
      <c r="F188" s="14"/>
      <c r="G188" s="14"/>
      <c r="H188" s="14"/>
      <c r="I188" s="14"/>
      <c r="J188" s="14"/>
      <c r="K188" s="14"/>
      <c r="P188" s="75"/>
    </row>
    <row r="189" spans="4:16" ht="12.75">
      <c r="D189" s="14"/>
      <c r="E189" s="14"/>
      <c r="F189" s="14"/>
      <c r="G189" s="14"/>
      <c r="H189" s="14"/>
      <c r="I189" s="14"/>
      <c r="J189" s="14"/>
      <c r="K189" s="14"/>
      <c r="P189" s="75"/>
    </row>
    <row r="190" spans="4:16" ht="12.75">
      <c r="D190" s="14"/>
      <c r="E190" s="14"/>
      <c r="F190" s="14"/>
      <c r="G190" s="14"/>
      <c r="H190" s="14"/>
      <c r="I190" s="14"/>
      <c r="J190" s="14"/>
      <c r="K190" s="14"/>
      <c r="P190" s="75"/>
    </row>
    <row r="191" spans="4:16" ht="12.75">
      <c r="D191" s="14"/>
      <c r="E191" s="14"/>
      <c r="F191" s="14"/>
      <c r="G191" s="14"/>
      <c r="H191" s="14"/>
      <c r="I191" s="14"/>
      <c r="J191" s="14"/>
      <c r="K191" s="14"/>
      <c r="P191" s="75"/>
    </row>
    <row r="192" spans="4:16" ht="12.75">
      <c r="D192" s="14"/>
      <c r="E192" s="14"/>
      <c r="F192" s="14"/>
      <c r="G192" s="14"/>
      <c r="H192" s="14"/>
      <c r="I192" s="14"/>
      <c r="J192" s="14"/>
      <c r="K192" s="14"/>
      <c r="P192" s="75"/>
    </row>
    <row r="193" spans="4:16" ht="12.75">
      <c r="D193" s="14"/>
      <c r="E193" s="14"/>
      <c r="F193" s="14"/>
      <c r="G193" s="14"/>
      <c r="H193" s="14"/>
      <c r="I193" s="14"/>
      <c r="J193" s="14"/>
      <c r="K193" s="14"/>
      <c r="P193" s="75"/>
    </row>
    <row r="194" spans="4:16" ht="12.75">
      <c r="D194" s="14"/>
      <c r="E194" s="14"/>
      <c r="F194" s="14"/>
      <c r="G194" s="14"/>
      <c r="H194" s="14"/>
      <c r="I194" s="14"/>
      <c r="J194" s="14"/>
      <c r="K194" s="14"/>
      <c r="P194" s="75"/>
    </row>
    <row r="195" spans="4:16" ht="12.75">
      <c r="D195" s="14"/>
      <c r="E195" s="14"/>
      <c r="F195" s="14"/>
      <c r="G195" s="14"/>
      <c r="H195" s="14"/>
      <c r="I195" s="14"/>
      <c r="J195" s="14"/>
      <c r="K195" s="14"/>
      <c r="P195" s="75"/>
    </row>
    <row r="196" spans="4:16" ht="12.75">
      <c r="D196" s="14"/>
      <c r="E196" s="14"/>
      <c r="F196" s="14"/>
      <c r="G196" s="14"/>
      <c r="H196" s="14"/>
      <c r="I196" s="14"/>
      <c r="J196" s="14"/>
      <c r="K196" s="14"/>
      <c r="P196" s="75"/>
    </row>
    <row r="197" spans="4:16" ht="12.75">
      <c r="D197" s="14"/>
      <c r="E197" s="14"/>
      <c r="F197" s="14"/>
      <c r="G197" s="14"/>
      <c r="H197" s="14"/>
      <c r="I197" s="14"/>
      <c r="J197" s="14"/>
      <c r="K197" s="14"/>
      <c r="P197" s="75"/>
    </row>
    <row r="198" spans="4:16" ht="12.75">
      <c r="D198" s="14"/>
      <c r="E198" s="14"/>
      <c r="F198" s="14"/>
      <c r="G198" s="14"/>
      <c r="H198" s="14"/>
      <c r="I198" s="14"/>
      <c r="J198" s="14"/>
      <c r="K198" s="14"/>
      <c r="P198" s="75"/>
    </row>
    <row r="199" spans="4:16" ht="12.75">
      <c r="D199" s="14"/>
      <c r="E199" s="14"/>
      <c r="F199" s="14"/>
      <c r="G199" s="14"/>
      <c r="H199" s="14"/>
      <c r="I199" s="14"/>
      <c r="J199" s="14"/>
      <c r="K199" s="14"/>
      <c r="P199" s="75"/>
    </row>
    <row r="200" spans="4:16" ht="12.75">
      <c r="D200" s="14"/>
      <c r="E200" s="14"/>
      <c r="F200" s="14"/>
      <c r="G200" s="14"/>
      <c r="H200" s="14"/>
      <c r="I200" s="14"/>
      <c r="J200" s="14"/>
      <c r="K200" s="14"/>
      <c r="P200" s="75"/>
    </row>
    <row r="201" spans="4:16" ht="12.75">
      <c r="D201" s="14"/>
      <c r="E201" s="14"/>
      <c r="F201" s="14"/>
      <c r="G201" s="14"/>
      <c r="H201" s="14"/>
      <c r="I201" s="14"/>
      <c r="J201" s="14"/>
      <c r="K201" s="14"/>
      <c r="P201" s="75"/>
    </row>
    <row r="202" spans="4:16" ht="12.75">
      <c r="D202" s="14"/>
      <c r="E202" s="14"/>
      <c r="F202" s="14"/>
      <c r="G202" s="14"/>
      <c r="H202" s="14"/>
      <c r="I202" s="14"/>
      <c r="J202" s="14"/>
      <c r="K202" s="14"/>
      <c r="P202" s="75"/>
    </row>
    <row r="203" spans="4:16" ht="12.75">
      <c r="D203" s="14"/>
      <c r="E203" s="14"/>
      <c r="F203" s="14"/>
      <c r="G203" s="14"/>
      <c r="H203" s="14"/>
      <c r="I203" s="14"/>
      <c r="J203" s="14"/>
      <c r="K203" s="14"/>
      <c r="P203" s="75"/>
    </row>
    <row r="204" spans="4:16" ht="12.75">
      <c r="D204" s="14"/>
      <c r="E204" s="14"/>
      <c r="F204" s="14"/>
      <c r="G204" s="14"/>
      <c r="H204" s="14"/>
      <c r="I204" s="14"/>
      <c r="J204" s="14"/>
      <c r="K204" s="14"/>
      <c r="P204" s="75"/>
    </row>
    <row r="205" spans="4:16" ht="12.75">
      <c r="D205" s="14"/>
      <c r="E205" s="14"/>
      <c r="F205" s="14"/>
      <c r="G205" s="14"/>
      <c r="H205" s="14"/>
      <c r="I205" s="14"/>
      <c r="J205" s="14"/>
      <c r="K205" s="14"/>
      <c r="P205" s="75"/>
    </row>
    <row r="206" spans="4:16" ht="12.75">
      <c r="D206" s="14"/>
      <c r="E206" s="14"/>
      <c r="F206" s="14"/>
      <c r="G206" s="14"/>
      <c r="H206" s="14"/>
      <c r="I206" s="14"/>
      <c r="J206" s="14"/>
      <c r="K206" s="14"/>
      <c r="P206" s="75"/>
    </row>
    <row r="207" spans="4:11" ht="12.75">
      <c r="D207" s="14"/>
      <c r="E207" s="14"/>
      <c r="F207" s="14"/>
      <c r="G207" s="14"/>
      <c r="H207" s="14"/>
      <c r="I207" s="14"/>
      <c r="J207" s="14"/>
      <c r="K207" s="14"/>
    </row>
    <row r="208" spans="4:11" ht="12.75">
      <c r="D208" s="14"/>
      <c r="E208" s="14"/>
      <c r="F208" s="14"/>
      <c r="G208" s="14"/>
      <c r="H208" s="14"/>
      <c r="I208" s="14"/>
      <c r="J208" s="14"/>
      <c r="K208" s="14"/>
    </row>
    <row r="209" spans="4:11" ht="12.75">
      <c r="D209" s="14"/>
      <c r="E209" s="14"/>
      <c r="F209" s="14"/>
      <c r="G209" s="14"/>
      <c r="H209" s="14"/>
      <c r="I209" s="14"/>
      <c r="J209" s="14"/>
      <c r="K209" s="14"/>
    </row>
    <row r="210" spans="4:11" ht="12.75">
      <c r="D210" s="14"/>
      <c r="E210" s="14"/>
      <c r="F210" s="14"/>
      <c r="G210" s="14"/>
      <c r="H210" s="14"/>
      <c r="I210" s="14"/>
      <c r="J210" s="14"/>
      <c r="K210" s="14"/>
    </row>
    <row r="211" spans="4:11" ht="12.75">
      <c r="D211" s="14"/>
      <c r="E211" s="14"/>
      <c r="F211" s="14"/>
      <c r="G211" s="14"/>
      <c r="H211" s="14"/>
      <c r="I211" s="14"/>
      <c r="J211" s="14"/>
      <c r="K211" s="14"/>
    </row>
    <row r="212" spans="4:11" ht="12.75">
      <c r="D212" s="14"/>
      <c r="E212" s="14"/>
      <c r="F212" s="14"/>
      <c r="G212" s="14"/>
      <c r="H212" s="14"/>
      <c r="I212" s="14"/>
      <c r="J212" s="14"/>
      <c r="K212" s="14"/>
    </row>
    <row r="213" spans="4:11" ht="12.75">
      <c r="D213" s="14"/>
      <c r="E213" s="14"/>
      <c r="F213" s="14"/>
      <c r="G213" s="14"/>
      <c r="H213" s="14"/>
      <c r="I213" s="14"/>
      <c r="J213" s="14"/>
      <c r="K213" s="14"/>
    </row>
    <row r="214" spans="4:11" ht="12.75">
      <c r="D214" s="14"/>
      <c r="E214" s="14"/>
      <c r="F214" s="14"/>
      <c r="G214" s="14"/>
      <c r="H214" s="14"/>
      <c r="I214" s="14"/>
      <c r="J214" s="14"/>
      <c r="K214" s="14"/>
    </row>
    <row r="215" spans="4:11" ht="12.75">
      <c r="D215" s="14"/>
      <c r="E215" s="14"/>
      <c r="F215" s="14"/>
      <c r="G215" s="14"/>
      <c r="H215" s="14"/>
      <c r="I215" s="14"/>
      <c r="J215" s="14"/>
      <c r="K215" s="14"/>
    </row>
    <row r="216" spans="4:11" ht="12.75">
      <c r="D216" s="14"/>
      <c r="E216" s="14"/>
      <c r="F216" s="14"/>
      <c r="G216" s="14"/>
      <c r="H216" s="14"/>
      <c r="I216" s="14"/>
      <c r="J216" s="14"/>
      <c r="K216" s="14"/>
    </row>
    <row r="217" spans="4:11" ht="12.75">
      <c r="D217" s="14"/>
      <c r="E217" s="14"/>
      <c r="F217" s="14"/>
      <c r="G217" s="14"/>
      <c r="H217" s="14"/>
      <c r="I217" s="14"/>
      <c r="J217" s="14"/>
      <c r="K217" s="14"/>
    </row>
    <row r="218" spans="4:11" ht="12.75">
      <c r="D218" s="14"/>
      <c r="E218" s="14"/>
      <c r="F218" s="14"/>
      <c r="G218" s="14"/>
      <c r="H218" s="14"/>
      <c r="I218" s="14"/>
      <c r="J218" s="14"/>
      <c r="K218" s="14"/>
    </row>
    <row r="219" spans="4:11" ht="12.75">
      <c r="D219" s="14"/>
      <c r="E219" s="14"/>
      <c r="F219" s="14"/>
      <c r="G219" s="14"/>
      <c r="H219" s="14"/>
      <c r="I219" s="14"/>
      <c r="J219" s="14"/>
      <c r="K219" s="14"/>
    </row>
    <row r="220" spans="4:11" ht="12.75">
      <c r="D220" s="14"/>
      <c r="E220" s="14"/>
      <c r="F220" s="14"/>
      <c r="G220" s="14"/>
      <c r="H220" s="14"/>
      <c r="I220" s="14"/>
      <c r="J220" s="14"/>
      <c r="K220" s="14"/>
    </row>
    <row r="221" spans="4:11" ht="12.75">
      <c r="D221" s="14"/>
      <c r="E221" s="14"/>
      <c r="F221" s="14"/>
      <c r="G221" s="14"/>
      <c r="H221" s="14"/>
      <c r="I221" s="14"/>
      <c r="J221" s="14"/>
      <c r="K221" s="14"/>
    </row>
    <row r="222" spans="4:11" ht="12.75">
      <c r="D222" s="14"/>
      <c r="E222" s="14"/>
      <c r="F222" s="14"/>
      <c r="G222" s="14"/>
      <c r="H222" s="14"/>
      <c r="I222" s="14"/>
      <c r="J222" s="14"/>
      <c r="K222" s="14"/>
    </row>
    <row r="223" spans="4:11" ht="12.75">
      <c r="D223" s="14"/>
      <c r="E223" s="14"/>
      <c r="F223" s="14"/>
      <c r="G223" s="14"/>
      <c r="H223" s="14"/>
      <c r="I223" s="14"/>
      <c r="J223" s="14"/>
      <c r="K223" s="14"/>
    </row>
    <row r="224" spans="4:11" ht="12.75">
      <c r="D224" s="14"/>
      <c r="E224" s="14"/>
      <c r="F224" s="14"/>
      <c r="G224" s="14"/>
      <c r="H224" s="14"/>
      <c r="I224" s="14"/>
      <c r="J224" s="14"/>
      <c r="K224" s="14"/>
    </row>
    <row r="225" spans="4:11" ht="12.75">
      <c r="D225" s="14"/>
      <c r="E225" s="14"/>
      <c r="F225" s="14"/>
      <c r="G225" s="14"/>
      <c r="H225" s="14"/>
      <c r="I225" s="14"/>
      <c r="J225" s="14"/>
      <c r="K225" s="14"/>
    </row>
    <row r="226" spans="4:11" ht="12.75">
      <c r="D226" s="14"/>
      <c r="E226" s="14"/>
      <c r="F226" s="14"/>
      <c r="G226" s="14"/>
      <c r="H226" s="14"/>
      <c r="I226" s="14"/>
      <c r="J226" s="14"/>
      <c r="K226" s="14"/>
    </row>
    <row r="227" spans="4:11" ht="12.75">
      <c r="D227" s="14"/>
      <c r="E227" s="14"/>
      <c r="F227" s="14"/>
      <c r="G227" s="14"/>
      <c r="H227" s="14"/>
      <c r="I227" s="14"/>
      <c r="J227" s="14"/>
      <c r="K227" s="14"/>
    </row>
    <row r="228" spans="4:11" ht="12.75">
      <c r="D228" s="14"/>
      <c r="E228" s="14"/>
      <c r="F228" s="14"/>
      <c r="G228" s="14"/>
      <c r="H228" s="14"/>
      <c r="I228" s="14"/>
      <c r="J228" s="14"/>
      <c r="K228" s="14"/>
    </row>
    <row r="229" spans="4:11" ht="12.75">
      <c r="D229" s="14"/>
      <c r="E229" s="14"/>
      <c r="F229" s="14"/>
      <c r="G229" s="14"/>
      <c r="H229" s="14"/>
      <c r="I229" s="14"/>
      <c r="J229" s="14"/>
      <c r="K229" s="14"/>
    </row>
    <row r="230" spans="4:11" ht="12.75">
      <c r="D230" s="14"/>
      <c r="E230" s="14"/>
      <c r="F230" s="14"/>
      <c r="G230" s="14"/>
      <c r="H230" s="14"/>
      <c r="I230" s="14"/>
      <c r="J230" s="14"/>
      <c r="K230" s="14"/>
    </row>
    <row r="231" spans="4:11" ht="12.75">
      <c r="D231" s="14"/>
      <c r="E231" s="14"/>
      <c r="F231" s="14"/>
      <c r="G231" s="14"/>
      <c r="H231" s="14"/>
      <c r="I231" s="14"/>
      <c r="J231" s="14"/>
      <c r="K231" s="14"/>
    </row>
    <row r="232" spans="4:11" ht="12.75">
      <c r="D232" s="14"/>
      <c r="E232" s="14"/>
      <c r="F232" s="14"/>
      <c r="G232" s="14"/>
      <c r="H232" s="14"/>
      <c r="I232" s="14"/>
      <c r="J232" s="14"/>
      <c r="K232" s="14"/>
    </row>
    <row r="233" spans="4:11" ht="12.75">
      <c r="D233" s="14"/>
      <c r="E233" s="14"/>
      <c r="F233" s="14"/>
      <c r="G233" s="14"/>
      <c r="H233" s="14"/>
      <c r="I233" s="14"/>
      <c r="J233" s="14"/>
      <c r="K233" s="14"/>
    </row>
    <row r="234" spans="4:11" ht="12.75">
      <c r="D234" s="14"/>
      <c r="E234" s="14"/>
      <c r="F234" s="14"/>
      <c r="G234" s="14"/>
      <c r="H234" s="14"/>
      <c r="I234" s="14"/>
      <c r="J234" s="14"/>
      <c r="K234" s="14"/>
    </row>
    <row r="235" spans="4:11" ht="12.75">
      <c r="D235" s="14"/>
      <c r="E235" s="14"/>
      <c r="F235" s="14"/>
      <c r="G235" s="14"/>
      <c r="H235" s="14"/>
      <c r="I235" s="14"/>
      <c r="J235" s="14"/>
      <c r="K235" s="14"/>
    </row>
    <row r="236" spans="4:11" ht="12.75">
      <c r="D236" s="14"/>
      <c r="E236" s="14"/>
      <c r="F236" s="14"/>
      <c r="G236" s="14"/>
      <c r="H236" s="14"/>
      <c r="I236" s="14"/>
      <c r="J236" s="14"/>
      <c r="K236" s="14"/>
    </row>
    <row r="237" spans="4:11" ht="12.75">
      <c r="D237" s="14"/>
      <c r="E237" s="14"/>
      <c r="F237" s="14"/>
      <c r="G237" s="14"/>
      <c r="H237" s="14"/>
      <c r="I237" s="14"/>
      <c r="J237" s="14"/>
      <c r="K237" s="14"/>
    </row>
    <row r="238" spans="4:11" ht="12.75">
      <c r="D238" s="14"/>
      <c r="E238" s="14"/>
      <c r="F238" s="14"/>
      <c r="G238" s="14"/>
      <c r="H238" s="14"/>
      <c r="I238" s="14"/>
      <c r="J238" s="14"/>
      <c r="K238" s="14"/>
    </row>
    <row r="239" spans="4:11" ht="12.75">
      <c r="D239" s="14"/>
      <c r="E239" s="14"/>
      <c r="F239" s="14"/>
      <c r="G239" s="14"/>
      <c r="H239" s="14"/>
      <c r="I239" s="14"/>
      <c r="J239" s="14"/>
      <c r="K239" s="14"/>
    </row>
    <row r="240" spans="4:11" ht="12.75">
      <c r="D240" s="14"/>
      <c r="E240" s="14"/>
      <c r="F240" s="14"/>
      <c r="G240" s="14"/>
      <c r="H240" s="14"/>
      <c r="I240" s="14"/>
      <c r="J240" s="14"/>
      <c r="K240" s="14"/>
    </row>
    <row r="241" spans="4:11" ht="12.75">
      <c r="D241" s="14"/>
      <c r="E241" s="14"/>
      <c r="F241" s="14"/>
      <c r="G241" s="14"/>
      <c r="H241" s="14"/>
      <c r="I241" s="14"/>
      <c r="J241" s="14"/>
      <c r="K241" s="14"/>
    </row>
    <row r="242" spans="4:11" ht="12.75">
      <c r="D242" s="14"/>
      <c r="E242" s="14"/>
      <c r="F242" s="14"/>
      <c r="G242" s="14"/>
      <c r="H242" s="14"/>
      <c r="I242" s="14"/>
      <c r="J242" s="14"/>
      <c r="K242" s="14"/>
    </row>
    <row r="243" spans="4:11" ht="12.75">
      <c r="D243" s="14"/>
      <c r="E243" s="14"/>
      <c r="F243" s="14"/>
      <c r="G243" s="14"/>
      <c r="H243" s="14"/>
      <c r="I243" s="14"/>
      <c r="J243" s="14"/>
      <c r="K243" s="14"/>
    </row>
    <row r="244" spans="4:11" ht="12.75">
      <c r="D244" s="14"/>
      <c r="E244" s="14"/>
      <c r="F244" s="14"/>
      <c r="G244" s="14"/>
      <c r="H244" s="14"/>
      <c r="I244" s="14"/>
      <c r="J244" s="14"/>
      <c r="K244" s="14"/>
    </row>
    <row r="245" spans="4:11" ht="12.75">
      <c r="D245" s="14"/>
      <c r="E245" s="14"/>
      <c r="F245" s="14"/>
      <c r="G245" s="14"/>
      <c r="H245" s="14"/>
      <c r="I245" s="14"/>
      <c r="J245" s="14"/>
      <c r="K245" s="14"/>
    </row>
    <row r="246" spans="4:11" ht="12.75">
      <c r="D246" s="14"/>
      <c r="E246" s="14"/>
      <c r="F246" s="14"/>
      <c r="G246" s="14"/>
      <c r="H246" s="14"/>
      <c r="I246" s="14"/>
      <c r="J246" s="14"/>
      <c r="K246" s="14"/>
    </row>
    <row r="247" spans="4:11" ht="12.75">
      <c r="D247" s="14"/>
      <c r="E247" s="14"/>
      <c r="F247" s="14"/>
      <c r="G247" s="14"/>
      <c r="H247" s="14"/>
      <c r="I247" s="14"/>
      <c r="J247" s="14"/>
      <c r="K247" s="14"/>
    </row>
    <row r="248" spans="4:11" ht="12.75">
      <c r="D248" s="14"/>
      <c r="E248" s="14"/>
      <c r="F248" s="14"/>
      <c r="G248" s="14"/>
      <c r="H248" s="14"/>
      <c r="I248" s="14"/>
      <c r="J248" s="14"/>
      <c r="K248" s="14"/>
    </row>
    <row r="249" spans="4:11" ht="12.75">
      <c r="D249" s="14"/>
      <c r="E249" s="14"/>
      <c r="F249" s="14"/>
      <c r="G249" s="14"/>
      <c r="H249" s="14"/>
      <c r="I249" s="14"/>
      <c r="J249" s="14"/>
      <c r="K249" s="14"/>
    </row>
    <row r="250" spans="4:11" ht="12.75">
      <c r="D250" s="14"/>
      <c r="E250" s="14"/>
      <c r="F250" s="14"/>
      <c r="G250" s="14"/>
      <c r="H250" s="14"/>
      <c r="I250" s="14"/>
      <c r="J250" s="14"/>
      <c r="K250" s="14"/>
    </row>
    <row r="251" spans="4:11" ht="12.75">
      <c r="D251" s="14"/>
      <c r="E251" s="14"/>
      <c r="F251" s="14"/>
      <c r="G251" s="14"/>
      <c r="H251" s="14"/>
      <c r="I251" s="14"/>
      <c r="J251" s="14"/>
      <c r="K251" s="14"/>
    </row>
    <row r="252" spans="4:11" ht="12.75">
      <c r="D252" s="14"/>
      <c r="E252" s="14"/>
      <c r="F252" s="14"/>
      <c r="G252" s="14"/>
      <c r="H252" s="14"/>
      <c r="I252" s="14"/>
      <c r="J252" s="14"/>
      <c r="K252" s="14"/>
    </row>
    <row r="253" spans="4:11" ht="12.75">
      <c r="D253" s="14"/>
      <c r="E253" s="14"/>
      <c r="F253" s="14"/>
      <c r="G253" s="14"/>
      <c r="H253" s="14"/>
      <c r="I253" s="14"/>
      <c r="J253" s="14"/>
      <c r="K253" s="14"/>
    </row>
    <row r="254" spans="4:11" ht="12.75">
      <c r="D254" s="14"/>
      <c r="E254" s="14"/>
      <c r="F254" s="14"/>
      <c r="G254" s="14"/>
      <c r="H254" s="14"/>
      <c r="I254" s="14"/>
      <c r="J254" s="14"/>
      <c r="K254" s="14"/>
    </row>
    <row r="255" spans="4:11" ht="12.75">
      <c r="D255" s="14"/>
      <c r="E255" s="14"/>
      <c r="F255" s="14"/>
      <c r="G255" s="14"/>
      <c r="H255" s="14"/>
      <c r="I255" s="14"/>
      <c r="J255" s="14"/>
      <c r="K255" s="14"/>
    </row>
    <row r="256" spans="4:11" ht="12.75">
      <c r="D256" s="14"/>
      <c r="E256" s="14"/>
      <c r="F256" s="14"/>
      <c r="G256" s="14"/>
      <c r="H256" s="14"/>
      <c r="I256" s="14"/>
      <c r="J256" s="14"/>
      <c r="K256" s="14"/>
    </row>
    <row r="257" spans="4:11" ht="12.75">
      <c r="D257" s="14"/>
      <c r="E257" s="14"/>
      <c r="F257" s="14"/>
      <c r="G257" s="14"/>
      <c r="H257" s="14"/>
      <c r="I257" s="14"/>
      <c r="J257" s="14"/>
      <c r="K257" s="14"/>
    </row>
    <row r="258" spans="4:11" ht="12.75">
      <c r="D258" s="14"/>
      <c r="E258" s="14"/>
      <c r="F258" s="14"/>
      <c r="G258" s="14"/>
      <c r="H258" s="14"/>
      <c r="I258" s="14"/>
      <c r="J258" s="14"/>
      <c r="K258" s="14"/>
    </row>
    <row r="259" spans="4:11" ht="12.75">
      <c r="D259" s="14"/>
      <c r="E259" s="14"/>
      <c r="F259" s="14"/>
      <c r="G259" s="14"/>
      <c r="H259" s="14"/>
      <c r="I259" s="14"/>
      <c r="J259" s="14"/>
      <c r="K259" s="14"/>
    </row>
    <row r="260" spans="4:11" ht="12.75">
      <c r="D260" s="14"/>
      <c r="E260" s="14"/>
      <c r="F260" s="14"/>
      <c r="G260" s="14"/>
      <c r="H260" s="14"/>
      <c r="I260" s="14"/>
      <c r="J260" s="14"/>
      <c r="K260" s="14"/>
    </row>
    <row r="261" spans="4:11" ht="12.75">
      <c r="D261" s="14"/>
      <c r="E261" s="14"/>
      <c r="F261" s="14"/>
      <c r="G261" s="14"/>
      <c r="H261" s="14"/>
      <c r="I261" s="14"/>
      <c r="J261" s="14"/>
      <c r="K261" s="14"/>
    </row>
    <row r="263" spans="4:11" ht="12.75">
      <c r="D263" s="14"/>
      <c r="E263" s="14"/>
      <c r="F263" s="14"/>
      <c r="G263" s="14"/>
      <c r="H263" s="14"/>
      <c r="I263" s="14"/>
      <c r="J263" s="14"/>
      <c r="K263" s="14"/>
    </row>
    <row r="264" spans="4:11" ht="12.75">
      <c r="D264" s="14"/>
      <c r="E264" s="14"/>
      <c r="F264" s="14"/>
      <c r="G264" s="14"/>
      <c r="H264" s="14"/>
      <c r="I264" s="14"/>
      <c r="J264" s="14"/>
      <c r="K264" s="14"/>
    </row>
    <row r="265" spans="4:11" ht="12.75">
      <c r="D265" s="14"/>
      <c r="E265" s="14"/>
      <c r="F265" s="14"/>
      <c r="G265" s="14"/>
      <c r="H265" s="14"/>
      <c r="I265" s="14"/>
      <c r="J265" s="14"/>
      <c r="K265" s="14"/>
    </row>
    <row r="266" spans="4:11" ht="12.75">
      <c r="D266" s="14"/>
      <c r="E266" s="14"/>
      <c r="F266" s="14"/>
      <c r="G266" s="14"/>
      <c r="H266" s="14"/>
      <c r="I266" s="14"/>
      <c r="J266" s="14"/>
      <c r="K266" s="14"/>
    </row>
    <row r="267" spans="4:11" ht="12.75">
      <c r="D267" s="14"/>
      <c r="E267" s="14"/>
      <c r="F267" s="14"/>
      <c r="G267" s="14"/>
      <c r="H267" s="14"/>
      <c r="I267" s="14"/>
      <c r="J267" s="14"/>
      <c r="K267" s="14"/>
    </row>
  </sheetData>
  <sheetProtection password="DDD9" sheet="1" objects="1" scenarios="1"/>
  <printOptions/>
  <pageMargins left="0.25" right="0" top="0.5" bottom="0.5" header="0.5" footer="0.5"/>
  <pageSetup horizontalDpi="300" verticalDpi="300" orientation="landscape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B6" sqref="B6"/>
    </sheetView>
  </sheetViews>
  <sheetFormatPr defaultColWidth="9.140625" defaultRowHeight="12.75"/>
  <cols>
    <col min="1" max="16384" width="9.140625" style="37" customWidth="1"/>
  </cols>
  <sheetData>
    <row r="2" ht="12.75">
      <c r="B2" s="78" t="s">
        <v>339</v>
      </c>
    </row>
    <row r="3" spans="1:4" ht="12.75">
      <c r="A3" s="37" t="s">
        <v>77</v>
      </c>
      <c r="B3" s="37" t="s">
        <v>270</v>
      </c>
      <c r="D3" s="37">
        <v>358000</v>
      </c>
    </row>
    <row r="4" spans="1:4" ht="12.75">
      <c r="A4" s="37" t="s">
        <v>39</v>
      </c>
      <c r="B4" s="37" t="s">
        <v>270</v>
      </c>
      <c r="D4" s="37">
        <v>537800</v>
      </c>
    </row>
    <row r="5" spans="1:9" ht="12.75">
      <c r="A5" s="37" t="s">
        <v>36</v>
      </c>
      <c r="B5" s="37" t="s">
        <v>270</v>
      </c>
      <c r="D5" s="37">
        <v>52000</v>
      </c>
      <c r="E5" s="37">
        <v>947800</v>
      </c>
      <c r="G5" s="37">
        <v>947800</v>
      </c>
      <c r="I5" s="37">
        <v>947800</v>
      </c>
    </row>
    <row r="6" spans="1:4" ht="12.75">
      <c r="A6" s="37" t="s">
        <v>275</v>
      </c>
      <c r="B6" s="37" t="s">
        <v>282</v>
      </c>
      <c r="D6" s="37">
        <v>272184</v>
      </c>
    </row>
    <row r="7" spans="1:9" ht="12.75">
      <c r="A7" s="37" t="s">
        <v>275</v>
      </c>
      <c r="B7" s="37" t="s">
        <v>200</v>
      </c>
      <c r="D7" s="37">
        <v>9839220</v>
      </c>
      <c r="E7" s="37">
        <v>10111404</v>
      </c>
      <c r="G7" s="37">
        <v>10111404</v>
      </c>
      <c r="I7" s="37">
        <v>10111404</v>
      </c>
    </row>
    <row r="8" spans="1:9" ht="12.75">
      <c r="A8" s="37" t="s">
        <v>36</v>
      </c>
      <c r="B8" s="37" t="s">
        <v>199</v>
      </c>
      <c r="D8" s="37">
        <v>7935650</v>
      </c>
      <c r="E8" s="37">
        <v>7935650</v>
      </c>
      <c r="G8" s="37">
        <v>7935650</v>
      </c>
      <c r="I8" s="37">
        <v>7935650</v>
      </c>
    </row>
    <row r="9" spans="1:9" ht="12.75">
      <c r="A9" s="37" t="s">
        <v>41</v>
      </c>
      <c r="B9" s="37" t="s">
        <v>448</v>
      </c>
      <c r="D9" s="37">
        <v>212287</v>
      </c>
      <c r="E9" s="37">
        <v>212287</v>
      </c>
      <c r="G9" s="37">
        <v>212287</v>
      </c>
      <c r="I9" s="37">
        <v>212287</v>
      </c>
    </row>
    <row r="11" spans="1:4" ht="12.75">
      <c r="A11" s="37" t="s">
        <v>248</v>
      </c>
      <c r="B11" s="37" t="s">
        <v>268</v>
      </c>
      <c r="D11" s="37">
        <v>424900</v>
      </c>
    </row>
    <row r="12" spans="1:5" ht="12.75">
      <c r="A12" s="37" t="s">
        <v>39</v>
      </c>
      <c r="B12" s="37" t="s">
        <v>268</v>
      </c>
      <c r="D12" s="37">
        <v>1588900</v>
      </c>
      <c r="E12" s="37">
        <v>2013800</v>
      </c>
    </row>
    <row r="13" spans="1:4" ht="12.75">
      <c r="A13" s="37" t="s">
        <v>248</v>
      </c>
      <c r="B13" s="37" t="s">
        <v>269</v>
      </c>
      <c r="D13" s="37">
        <v>6992492</v>
      </c>
    </row>
    <row r="14" spans="1:5" ht="12.75">
      <c r="A14" s="37" t="s">
        <v>39</v>
      </c>
      <c r="B14" s="37" t="s">
        <v>269</v>
      </c>
      <c r="D14" s="37">
        <v>5542500</v>
      </c>
      <c r="E14" s="37">
        <v>12534992</v>
      </c>
    </row>
    <row r="15" spans="1:4" ht="12.75">
      <c r="A15" s="37" t="s">
        <v>77</v>
      </c>
      <c r="B15" s="37" t="s">
        <v>274</v>
      </c>
      <c r="D15" s="37">
        <v>26012895</v>
      </c>
    </row>
    <row r="16" spans="1:4" ht="12.75">
      <c r="A16" s="37" t="s">
        <v>39</v>
      </c>
      <c r="B16" s="37" t="s">
        <v>274</v>
      </c>
      <c r="D16" s="37">
        <v>16765105</v>
      </c>
    </row>
    <row r="17" spans="1:9" ht="12.75">
      <c r="A17" s="37" t="s">
        <v>41</v>
      </c>
      <c r="B17" s="37" t="s">
        <v>274</v>
      </c>
      <c r="D17" s="37">
        <v>10654500</v>
      </c>
      <c r="E17" s="37">
        <v>53432500</v>
      </c>
      <c r="G17" s="37">
        <v>67981292</v>
      </c>
      <c r="I17" s="37">
        <v>67981292</v>
      </c>
    </row>
    <row r="19" spans="1:4" ht="12.75">
      <c r="A19" s="37" t="s">
        <v>77</v>
      </c>
      <c r="B19" s="37" t="s">
        <v>271</v>
      </c>
      <c r="D19" s="37">
        <v>48300</v>
      </c>
    </row>
    <row r="20" spans="1:5" ht="12.75">
      <c r="A20" s="37" t="s">
        <v>39</v>
      </c>
      <c r="B20" s="37" t="s">
        <v>271</v>
      </c>
      <c r="D20" s="37">
        <v>342850</v>
      </c>
      <c r="E20" s="37">
        <v>391150</v>
      </c>
    </row>
    <row r="21" spans="1:4" ht="12.75">
      <c r="A21" s="37" t="s">
        <v>39</v>
      </c>
      <c r="B21" s="37" t="s">
        <v>397</v>
      </c>
      <c r="D21" s="37">
        <v>906000</v>
      </c>
    </row>
    <row r="22" spans="1:5" ht="12.75">
      <c r="A22" s="37" t="s">
        <v>41</v>
      </c>
      <c r="B22" s="37" t="s">
        <v>397</v>
      </c>
      <c r="D22" s="37">
        <v>218300</v>
      </c>
      <c r="E22" s="37">
        <v>1124300</v>
      </c>
    </row>
    <row r="23" spans="1:5" ht="12.75">
      <c r="A23" s="37" t="s">
        <v>39</v>
      </c>
      <c r="B23" s="37" t="s">
        <v>23</v>
      </c>
      <c r="D23" s="37">
        <v>327100</v>
      </c>
      <c r="E23" s="37">
        <v>327100</v>
      </c>
    </row>
    <row r="24" spans="1:4" ht="12.75">
      <c r="A24" s="37" t="s">
        <v>77</v>
      </c>
      <c r="B24" s="37" t="s">
        <v>272</v>
      </c>
      <c r="D24" s="37">
        <v>1314175</v>
      </c>
    </row>
    <row r="25" spans="1:5" ht="12.75">
      <c r="A25" s="37" t="s">
        <v>39</v>
      </c>
      <c r="B25" s="37" t="s">
        <v>272</v>
      </c>
      <c r="D25" s="37">
        <v>3515936</v>
      </c>
      <c r="E25" s="37">
        <v>4830111</v>
      </c>
    </row>
    <row r="26" spans="1:4" ht="12.75">
      <c r="A26" s="37" t="s">
        <v>77</v>
      </c>
      <c r="B26" s="37" t="s">
        <v>273</v>
      </c>
      <c r="D26" s="37">
        <v>210500</v>
      </c>
    </row>
    <row r="27" spans="1:7" ht="12.75">
      <c r="A27" s="37" t="s">
        <v>39</v>
      </c>
      <c r="B27" s="37" t="s">
        <v>273</v>
      </c>
      <c r="D27" s="37">
        <v>313000</v>
      </c>
      <c r="E27" s="37">
        <v>523500</v>
      </c>
      <c r="G27" s="37">
        <v>7196161</v>
      </c>
    </row>
    <row r="29" ht="12.75">
      <c r="B29" s="78" t="s">
        <v>338</v>
      </c>
    </row>
    <row r="30" spans="1:5" ht="12.75">
      <c r="A30" s="37" t="s">
        <v>41</v>
      </c>
      <c r="B30" s="37" t="s">
        <v>447</v>
      </c>
      <c r="D30" s="37">
        <v>1996290</v>
      </c>
      <c r="E30" s="37">
        <v>1996290</v>
      </c>
    </row>
    <row r="31" spans="1:4" ht="12.75">
      <c r="A31" s="37" t="s">
        <v>77</v>
      </c>
      <c r="B31" s="37" t="s">
        <v>107</v>
      </c>
      <c r="D31" s="37">
        <v>233437</v>
      </c>
    </row>
    <row r="32" spans="1:4" ht="12.75">
      <c r="A32" s="37" t="s">
        <v>39</v>
      </c>
      <c r="B32" s="37" t="s">
        <v>107</v>
      </c>
      <c r="D32" s="37">
        <v>597207</v>
      </c>
    </row>
    <row r="33" spans="1:5" ht="12.75">
      <c r="A33" s="37" t="s">
        <v>41</v>
      </c>
      <c r="B33" s="37" t="s">
        <v>107</v>
      </c>
      <c r="D33" s="37">
        <v>532339</v>
      </c>
      <c r="E33" s="37">
        <v>1362983</v>
      </c>
    </row>
    <row r="34" spans="1:4" ht="12.75">
      <c r="A34" s="37" t="s">
        <v>217</v>
      </c>
      <c r="B34" s="37" t="s">
        <v>413</v>
      </c>
      <c r="D34" s="37">
        <v>5764</v>
      </c>
    </row>
    <row r="35" spans="1:5" ht="12.75">
      <c r="A35" s="37" t="s">
        <v>36</v>
      </c>
      <c r="B35" s="37" t="s">
        <v>413</v>
      </c>
      <c r="D35" s="37">
        <v>11710</v>
      </c>
      <c r="E35" s="37">
        <v>17474</v>
      </c>
    </row>
    <row r="36" spans="1:5" ht="12.75">
      <c r="A36" s="37" t="s">
        <v>36</v>
      </c>
      <c r="B36" s="37" t="s">
        <v>168</v>
      </c>
      <c r="D36" s="37">
        <v>40</v>
      </c>
      <c r="E36" s="37">
        <v>40</v>
      </c>
    </row>
    <row r="37" spans="1:4" ht="12.75">
      <c r="A37" s="37" t="s">
        <v>77</v>
      </c>
      <c r="B37" s="37" t="s">
        <v>396</v>
      </c>
      <c r="D37" s="37">
        <v>659181</v>
      </c>
    </row>
    <row r="38" spans="1:4" ht="12.75">
      <c r="A38" s="37" t="s">
        <v>39</v>
      </c>
      <c r="B38" s="37" t="s">
        <v>396</v>
      </c>
      <c r="D38" s="37">
        <v>398150</v>
      </c>
    </row>
    <row r="39" spans="1:4" ht="12.75">
      <c r="A39" s="37" t="s">
        <v>36</v>
      </c>
      <c r="B39" s="37" t="s">
        <v>396</v>
      </c>
      <c r="D39" s="37">
        <v>60000</v>
      </c>
    </row>
    <row r="40" spans="1:5" ht="12.75">
      <c r="A40" s="37" t="s">
        <v>41</v>
      </c>
      <c r="B40" s="37" t="s">
        <v>396</v>
      </c>
      <c r="D40" s="37">
        <v>34807</v>
      </c>
      <c r="E40" s="37">
        <v>1152138</v>
      </c>
    </row>
    <row r="41" spans="1:9" ht="12.75">
      <c r="A41" s="37" t="s">
        <v>217</v>
      </c>
      <c r="B41" s="37" t="s">
        <v>247</v>
      </c>
      <c r="D41" s="37">
        <v>201</v>
      </c>
      <c r="E41" s="37">
        <v>201</v>
      </c>
      <c r="G41" s="37">
        <v>4529126</v>
      </c>
      <c r="I41" s="37">
        <v>11725287</v>
      </c>
    </row>
    <row r="42" spans="1:9" ht="12.75">
      <c r="A42" s="37" t="s">
        <v>41</v>
      </c>
      <c r="B42" s="37" t="s">
        <v>463</v>
      </c>
      <c r="D42" s="37">
        <v>51945</v>
      </c>
      <c r="E42" s="37">
        <v>51945</v>
      </c>
      <c r="G42" s="37">
        <v>51945</v>
      </c>
      <c r="I42" s="37">
        <v>51945</v>
      </c>
    </row>
    <row r="43" ht="12.75">
      <c r="I43" s="37">
        <v>98965665</v>
      </c>
    </row>
    <row r="45" spans="1:4" ht="12.75">
      <c r="A45" s="37" t="s">
        <v>38</v>
      </c>
      <c r="B45" s="37" t="s">
        <v>106</v>
      </c>
      <c r="D45" s="37">
        <v>220365</v>
      </c>
    </row>
    <row r="46" spans="1:4" ht="12.75">
      <c r="A46" s="37" t="s">
        <v>77</v>
      </c>
      <c r="B46" s="37" t="s">
        <v>106</v>
      </c>
      <c r="D46" s="37">
        <v>163599</v>
      </c>
    </row>
    <row r="47" spans="1:4" ht="12.75">
      <c r="A47" s="37" t="s">
        <v>217</v>
      </c>
      <c r="B47" s="37" t="s">
        <v>106</v>
      </c>
      <c r="D47" s="37">
        <v>19686</v>
      </c>
    </row>
    <row r="48" spans="1:4" ht="12.75">
      <c r="A48" s="37" t="s">
        <v>248</v>
      </c>
      <c r="B48" s="37" t="s">
        <v>106</v>
      </c>
      <c r="D48" s="37">
        <v>14790</v>
      </c>
    </row>
    <row r="49" spans="1:4" ht="12.75">
      <c r="A49" s="37" t="s">
        <v>275</v>
      </c>
      <c r="B49" s="37" t="s">
        <v>106</v>
      </c>
      <c r="D49" s="37">
        <v>13114</v>
      </c>
    </row>
    <row r="50" spans="1:4" ht="12.75">
      <c r="A50" s="37" t="s">
        <v>39</v>
      </c>
      <c r="B50" s="37" t="s">
        <v>106</v>
      </c>
      <c r="D50" s="37">
        <v>254139</v>
      </c>
    </row>
    <row r="51" spans="1:4" ht="12.75">
      <c r="A51" s="37" t="s">
        <v>36</v>
      </c>
      <c r="B51" s="37" t="s">
        <v>106</v>
      </c>
      <c r="D51" s="37">
        <v>76499</v>
      </c>
    </row>
    <row r="52" spans="1:9" ht="12.75">
      <c r="A52" s="37" t="s">
        <v>41</v>
      </c>
      <c r="B52" s="37" t="s">
        <v>106</v>
      </c>
      <c r="D52" s="37">
        <v>608714</v>
      </c>
      <c r="E52" s="37">
        <v>1370906</v>
      </c>
      <c r="G52" s="37">
        <v>1370906</v>
      </c>
      <c r="I52" s="37">
        <v>1370906</v>
      </c>
    </row>
    <row r="54" spans="1:9" ht="12.75">
      <c r="A54" s="37" t="s">
        <v>38</v>
      </c>
      <c r="B54" s="37" t="s">
        <v>216</v>
      </c>
      <c r="D54" s="37">
        <v>289800</v>
      </c>
      <c r="E54" s="37">
        <v>289800</v>
      </c>
      <c r="G54" s="37">
        <v>289800</v>
      </c>
      <c r="I54" s="37">
        <v>289800</v>
      </c>
    </row>
  </sheetData>
  <sheetProtection password="DDD9" sheet="1" objects="1" scenario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">
      <selection activeCell="A21" sqref="A21"/>
    </sheetView>
  </sheetViews>
  <sheetFormatPr defaultColWidth="9.140625" defaultRowHeight="12.75"/>
  <cols>
    <col min="1" max="1" width="4.57421875" style="5" customWidth="1"/>
    <col min="2" max="2" width="26.7109375" style="5" customWidth="1"/>
    <col min="3" max="3" width="12.421875" style="5" customWidth="1"/>
    <col min="4" max="4" width="11.7109375" style="5" customWidth="1"/>
    <col min="5" max="5" width="11.57421875" style="5" customWidth="1"/>
    <col min="6" max="6" width="11.8515625" style="5" customWidth="1"/>
    <col min="7" max="7" width="11.00390625" style="5" customWidth="1"/>
    <col min="8" max="8" width="13.140625" style="5" customWidth="1"/>
    <col min="9" max="9" width="12.28125" style="5" customWidth="1"/>
    <col min="10" max="10" width="12.57421875" style="5" customWidth="1"/>
    <col min="11" max="11" width="13.28125" style="5" customWidth="1"/>
    <col min="12" max="16384" width="9.140625" style="5" customWidth="1"/>
  </cols>
  <sheetData>
    <row r="1" spans="1:11" ht="15.75">
      <c r="A1" s="159" t="s">
        <v>717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>
      <c r="A2" s="154" t="s">
        <v>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>
      <c r="A3" s="154" t="s">
        <v>76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155" t="s">
        <v>871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ht="13.5" thickBot="1"/>
    <row r="7" spans="1:11" ht="13.5" thickBot="1">
      <c r="A7" s="63" t="s">
        <v>482</v>
      </c>
      <c r="B7" s="60" t="s">
        <v>483</v>
      </c>
      <c r="C7" s="60" t="s">
        <v>146</v>
      </c>
      <c r="D7" s="157" t="s">
        <v>484</v>
      </c>
      <c r="E7" s="160"/>
      <c r="F7" s="160"/>
      <c r="G7" s="160"/>
      <c r="H7" s="158"/>
      <c r="I7" s="60" t="s">
        <v>146</v>
      </c>
      <c r="J7" s="60" t="s">
        <v>146</v>
      </c>
      <c r="K7" s="60" t="s">
        <v>485</v>
      </c>
    </row>
    <row r="8" spans="1:11" ht="13.5" thickBot="1">
      <c r="A8" s="64" t="s">
        <v>486</v>
      </c>
      <c r="B8" s="61"/>
      <c r="C8" s="61" t="s">
        <v>487</v>
      </c>
      <c r="D8" s="63" t="s">
        <v>488</v>
      </c>
      <c r="E8" s="157" t="s">
        <v>489</v>
      </c>
      <c r="F8" s="158"/>
      <c r="G8" s="60" t="s">
        <v>490</v>
      </c>
      <c r="H8" s="61" t="s">
        <v>491</v>
      </c>
      <c r="I8" s="61" t="s">
        <v>492</v>
      </c>
      <c r="J8" s="61" t="s">
        <v>492</v>
      </c>
      <c r="K8" s="61" t="s">
        <v>493</v>
      </c>
    </row>
    <row r="9" spans="1:11" ht="12.75">
      <c r="A9" s="64"/>
      <c r="B9" s="61"/>
      <c r="C9" s="61"/>
      <c r="D9" s="64" t="s">
        <v>493</v>
      </c>
      <c r="E9" s="63" t="s">
        <v>494</v>
      </c>
      <c r="F9" s="61" t="s">
        <v>495</v>
      </c>
      <c r="G9" s="61"/>
      <c r="H9" s="61"/>
      <c r="I9" s="61" t="s">
        <v>496</v>
      </c>
      <c r="J9" s="61" t="s">
        <v>496</v>
      </c>
      <c r="K9" s="61" t="s">
        <v>497</v>
      </c>
    </row>
    <row r="10" spans="1:11" ht="13.5" thickBot="1">
      <c r="A10" s="65"/>
      <c r="B10" s="62"/>
      <c r="C10" s="62"/>
      <c r="D10" s="65" t="s">
        <v>498</v>
      </c>
      <c r="E10" s="65" t="s">
        <v>499</v>
      </c>
      <c r="F10" s="62" t="s">
        <v>499</v>
      </c>
      <c r="G10" s="62"/>
      <c r="H10" s="62"/>
      <c r="I10" s="62" t="s">
        <v>204</v>
      </c>
      <c r="J10" s="62" t="s">
        <v>203</v>
      </c>
      <c r="K10" s="62"/>
    </row>
    <row r="11" ht="12.75">
      <c r="B11" s="1"/>
    </row>
    <row r="12" spans="1:11" ht="12.75">
      <c r="A12" s="55">
        <v>1</v>
      </c>
      <c r="B12" s="5" t="s">
        <v>620</v>
      </c>
      <c r="C12" s="56">
        <v>0</v>
      </c>
      <c r="D12" s="14">
        <f>'RUF WORK FIXED ASSET'!D15</f>
        <v>13697486.65</v>
      </c>
      <c r="E12" s="14">
        <f>'RUF WORK FIXED ASSET'!E15</f>
        <v>0</v>
      </c>
      <c r="F12" s="14">
        <f>'RUF WORK FIXED ASSET'!F15</f>
        <v>8077997.55</v>
      </c>
      <c r="G12" s="14">
        <f>'RUF WORK FIXED ASSET'!G15</f>
        <v>0.2</v>
      </c>
      <c r="H12" s="14">
        <f>'RUF WORK FIXED ASSET'!H15</f>
        <v>21775484</v>
      </c>
      <c r="I12" s="14">
        <f>'RUF WORK FIXED ASSET'!I15</f>
        <v>0</v>
      </c>
      <c r="J12" s="14">
        <f>'RUF WORK FIXED ASSET'!J15</f>
        <v>0</v>
      </c>
      <c r="K12" s="14">
        <f>'RUF WORK FIXED ASSET'!K15</f>
        <v>21775484</v>
      </c>
    </row>
    <row r="13" spans="1:11" ht="12.75">
      <c r="A13" s="55"/>
      <c r="C13" s="56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>
        <f>A12+1</f>
        <v>2</v>
      </c>
      <c r="B14" s="5" t="s">
        <v>621</v>
      </c>
      <c r="C14" s="56">
        <v>0.1</v>
      </c>
      <c r="D14" s="14">
        <f>'RUF WORK FIXED ASSET'!D22</f>
        <v>49898199.98</v>
      </c>
      <c r="E14" s="14">
        <f>'RUF WORK FIXED ASSET'!E22</f>
        <v>3641334</v>
      </c>
      <c r="F14" s="14">
        <f>'RUF WORK FIXED ASSET'!F22</f>
        <v>6686045</v>
      </c>
      <c r="G14" s="14">
        <f>'RUF WORK FIXED ASSET'!G22</f>
        <v>0</v>
      </c>
      <c r="H14" s="14">
        <f>'RUF WORK FIXED ASSET'!H22</f>
        <v>60225578.98</v>
      </c>
      <c r="I14" s="14">
        <f>'RUF WORK FIXED ASSET'!I22</f>
        <v>5653467.978</v>
      </c>
      <c r="J14" s="14">
        <f>'RUF WORK FIXED ASSET'!J22</f>
        <v>5441119.553</v>
      </c>
      <c r="K14" s="14">
        <f>'RUF WORK FIXED ASSET'!K22</f>
        <v>54572110.997</v>
      </c>
    </row>
    <row r="15" spans="1:11" ht="12.75">
      <c r="A15" s="55"/>
      <c r="C15" s="56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>
        <f>A14+1</f>
        <v>3</v>
      </c>
      <c r="B16" s="4" t="s">
        <v>622</v>
      </c>
      <c r="C16" s="56">
        <v>0.6</v>
      </c>
      <c r="D16" s="14">
        <f>'RUF WORK FIXED ASSET'!D28</f>
        <v>2122769.41</v>
      </c>
      <c r="E16" s="14">
        <f>'RUF WORK FIXED ASSET'!E28</f>
        <v>421815</v>
      </c>
      <c r="F16" s="14">
        <f>'RUF WORK FIXED ASSET'!F28</f>
        <v>1166652.5</v>
      </c>
      <c r="G16" s="14">
        <f>'RUF WORK FIXED ASSET'!G28</f>
        <v>0</v>
      </c>
      <c r="H16" s="14">
        <f>'RUF WORK FIXED ASSET'!H28</f>
        <v>3711236.91</v>
      </c>
      <c r="I16" s="14">
        <f>'RUF WORK FIXED ASSET'!I28</f>
        <v>1876745.9160000002</v>
      </c>
      <c r="J16" s="14">
        <f>'RUF WORK FIXED ASSET'!J28</f>
        <v>1871025.63</v>
      </c>
      <c r="K16" s="14">
        <f>'RUF WORK FIXED ASSET'!K28</f>
        <v>1834490.9989999998</v>
      </c>
    </row>
    <row r="17" spans="1:11" ht="12.75">
      <c r="A17" s="55"/>
      <c r="B17" s="4"/>
      <c r="C17" s="56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55">
        <f>A16+1</f>
        <v>4</v>
      </c>
      <c r="B18" s="5" t="s">
        <v>623</v>
      </c>
      <c r="C18" s="56">
        <v>0.25</v>
      </c>
      <c r="D18" s="14">
        <f>'RUF WORK FIXED ASSET'!D33</f>
        <v>747773.1000000001</v>
      </c>
      <c r="E18" s="14">
        <f>'RUF WORK FIXED ASSET'!E33</f>
        <v>943352</v>
      </c>
      <c r="F18" s="14">
        <f>'RUF WORK FIXED ASSET'!F33</f>
        <v>386015</v>
      </c>
      <c r="G18" s="14">
        <f>'RUF WORK FIXED ASSET'!G33</f>
        <v>0</v>
      </c>
      <c r="H18" s="14">
        <f>'RUF WORK FIXED ASSET'!H33</f>
        <v>2077140.1</v>
      </c>
      <c r="I18" s="14">
        <f>'RUF WORK FIXED ASSET'!I33</f>
        <v>471033.10000000003</v>
      </c>
      <c r="J18" s="14">
        <f>'RUF WORK FIXED ASSET'!J33</f>
        <v>249257.695</v>
      </c>
      <c r="K18" s="14">
        <f>'RUF WORK FIXED ASSET'!K33</f>
        <v>1606107</v>
      </c>
    </row>
    <row r="19" spans="1:11" ht="12.75">
      <c r="A19" s="55"/>
      <c r="C19" s="56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55">
        <f>A18+1</f>
        <v>5</v>
      </c>
      <c r="B20" s="5" t="s">
        <v>624</v>
      </c>
      <c r="C20" s="57">
        <v>0.25</v>
      </c>
      <c r="D20" s="14">
        <f>'RUF WORK FIXED ASSET'!D37</f>
        <v>322048.61</v>
      </c>
      <c r="E20" s="14">
        <f>'RUF WORK FIXED ASSET'!E37</f>
        <v>0</v>
      </c>
      <c r="F20" s="14">
        <f>'RUF WORK FIXED ASSET'!F37</f>
        <v>0</v>
      </c>
      <c r="G20" s="14">
        <f>'RUF WORK FIXED ASSET'!G37</f>
        <v>0</v>
      </c>
      <c r="H20" s="14">
        <f>'RUF WORK FIXED ASSET'!H37</f>
        <v>322048.61</v>
      </c>
      <c r="I20" s="14">
        <f>'RUF WORK FIXED ASSET'!I37</f>
        <v>80512.6025</v>
      </c>
      <c r="J20" s="14">
        <f>'RUF WORK FIXED ASSET'!J37</f>
        <v>107349.53</v>
      </c>
      <c r="K20" s="14">
        <f>'RUF WORK FIXED ASSET'!K37</f>
        <v>241535.9975</v>
      </c>
    </row>
    <row r="21" spans="1:11" ht="12.75">
      <c r="A21" s="55"/>
      <c r="C21" s="57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>
        <f>A20+1</f>
        <v>6</v>
      </c>
      <c r="B22" s="5" t="s">
        <v>625</v>
      </c>
      <c r="C22" s="56">
        <v>0.25</v>
      </c>
      <c r="D22" s="14">
        <f>'RUF WORK FIXED ASSET'!D43</f>
        <v>85425.81</v>
      </c>
      <c r="E22" s="14">
        <f>'RUF WORK FIXED ASSET'!E43</f>
        <v>38722</v>
      </c>
      <c r="F22" s="14">
        <f>'RUF WORK FIXED ASSET'!F43</f>
        <v>0</v>
      </c>
      <c r="G22" s="14">
        <f>'RUF WORK FIXED ASSET'!G43</f>
        <v>400.46</v>
      </c>
      <c r="H22" s="14">
        <f>'RUF WORK FIXED ASSET'!H43</f>
        <v>123747.34999999999</v>
      </c>
      <c r="I22" s="14">
        <f>'RUF WORK FIXED ASSET'!I43</f>
        <v>30937.347499999996</v>
      </c>
      <c r="J22" s="14">
        <f>'RUF WORK FIXED ASSET'!J43</f>
        <v>26079.4425</v>
      </c>
      <c r="K22" s="14">
        <f>'RUF WORK FIXED ASSET'!K43</f>
        <v>92810.0025</v>
      </c>
    </row>
    <row r="23" spans="1:11" ht="12.75">
      <c r="A23" s="55"/>
      <c r="C23" s="56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55">
        <f>A22+1</f>
        <v>7</v>
      </c>
      <c r="B24" s="5" t="s">
        <v>626</v>
      </c>
      <c r="C24" s="56">
        <v>0.25</v>
      </c>
      <c r="D24" s="14">
        <f>'RUF WORK FIXED ASSET'!D45</f>
        <v>521718.75</v>
      </c>
      <c r="E24" s="14">
        <f>'RUF WORK FIXED ASSET'!E45</f>
        <v>0</v>
      </c>
      <c r="F24" s="14">
        <f>'RUF WORK FIXED ASSET'!F45</f>
        <v>0</v>
      </c>
      <c r="G24" s="14">
        <f>'RUF WORK FIXED ASSET'!G45</f>
        <v>0</v>
      </c>
      <c r="H24" s="14">
        <f>'RUF WORK FIXED ASSET'!H45</f>
        <v>521718.75</v>
      </c>
      <c r="I24" s="14">
        <f>'RUF WORK FIXED ASSET'!I45</f>
        <v>130429.7475</v>
      </c>
      <c r="J24" s="14">
        <f>'RUF WORK FIXED ASSET'!J45</f>
        <v>173906.25</v>
      </c>
      <c r="K24" s="14">
        <f>'RUF WORK FIXED ASSET'!K45</f>
        <v>391289.0025</v>
      </c>
    </row>
    <row r="25" spans="1:11" ht="12.75">
      <c r="A25" s="55"/>
      <c r="C25" s="56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55">
        <f>A24+1</f>
        <v>8</v>
      </c>
      <c r="B26" s="5" t="s">
        <v>627</v>
      </c>
      <c r="C26" s="56">
        <v>0.25</v>
      </c>
      <c r="D26" s="14">
        <f>'RUF WORK FIXED ASSET'!D49</f>
        <v>15662.61</v>
      </c>
      <c r="E26" s="14">
        <f>'RUF WORK FIXED ASSET'!E49</f>
        <v>0</v>
      </c>
      <c r="F26" s="14">
        <f>'RUF WORK FIXED ASSET'!F49</f>
        <v>9700</v>
      </c>
      <c r="G26" s="14">
        <f>'RUF WORK FIXED ASSET'!G49</f>
        <v>0</v>
      </c>
      <c r="H26" s="14">
        <f>'RUF WORK FIXED ASSET'!H49</f>
        <v>25362.61</v>
      </c>
      <c r="I26" s="14">
        <f>'RUF WORK FIXED ASSET'!I49</f>
        <v>5128.6125</v>
      </c>
      <c r="J26" s="14">
        <f>'RUF WORK FIXED ASSET'!J49</f>
        <v>5220.87</v>
      </c>
      <c r="K26" s="14">
        <f>'RUF WORK FIXED ASSET'!K49</f>
        <v>20233.9975</v>
      </c>
    </row>
    <row r="27" spans="1:11" ht="12.75">
      <c r="A27" s="55"/>
      <c r="C27" s="56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55">
        <f>A26+1</f>
        <v>9</v>
      </c>
      <c r="B28" s="5" t="s">
        <v>628</v>
      </c>
      <c r="C28" s="56">
        <v>0.25</v>
      </c>
      <c r="D28" s="14">
        <f>'RUF WORK FIXED ASSET'!D52</f>
        <v>73199.47</v>
      </c>
      <c r="E28" s="14">
        <f>'RUF WORK FIXED ASSET'!E52</f>
        <v>0</v>
      </c>
      <c r="F28" s="14">
        <f>'RUF WORK FIXED ASSET'!F52</f>
        <v>0</v>
      </c>
      <c r="G28" s="14">
        <f>'RUF WORK FIXED ASSET'!G52</f>
        <v>0</v>
      </c>
      <c r="H28" s="14">
        <f>'RUF WORK FIXED ASSET'!H52</f>
        <v>73199.47</v>
      </c>
      <c r="I28" s="14">
        <f>'RUF WORK FIXED ASSET'!I52</f>
        <v>18299.4675</v>
      </c>
      <c r="J28" s="14">
        <f>'RUF WORK FIXED ASSET'!J52</f>
        <v>24399.83</v>
      </c>
      <c r="K28" s="14">
        <f>'RUF WORK FIXED ASSET'!K52</f>
        <v>54900.0025</v>
      </c>
    </row>
    <row r="29" spans="1:11" ht="12.75">
      <c r="A29" s="55"/>
      <c r="C29" s="56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55">
        <f>A28+1</f>
        <v>10</v>
      </c>
      <c r="B30" s="5" t="s">
        <v>629</v>
      </c>
      <c r="C30" s="56">
        <v>0.25</v>
      </c>
      <c r="D30" s="14">
        <f>'RUF WORK FIXED ASSET'!D56</f>
        <v>3781.62</v>
      </c>
      <c r="E30" s="14">
        <f>'RUF WORK FIXED ASSET'!E56</f>
        <v>67500</v>
      </c>
      <c r="F30" s="14">
        <f>'RUF WORK FIXED ASSET'!F56</f>
        <v>0</v>
      </c>
      <c r="G30" s="14">
        <f>'RUF WORK FIXED ASSET'!G56</f>
        <v>0</v>
      </c>
      <c r="H30" s="14">
        <f>'RUF WORK FIXED ASSET'!H56</f>
        <v>71281.62</v>
      </c>
      <c r="I30" s="14">
        <f>'RUF WORK FIXED ASSET'!I56</f>
        <v>31838.620000000003</v>
      </c>
      <c r="J30" s="14">
        <f>'RUF WORK FIXED ASSET'!J56</f>
        <v>3781.63</v>
      </c>
      <c r="K30" s="14">
        <f>'RUF WORK FIXED ASSET'!K56</f>
        <v>39443</v>
      </c>
    </row>
    <row r="31" spans="1:11" ht="12.75">
      <c r="A31" s="55"/>
      <c r="C31" s="56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55">
        <f>A30+1</f>
        <v>11</v>
      </c>
      <c r="B32" s="5" t="s">
        <v>630</v>
      </c>
      <c r="C32" s="56">
        <v>0.25</v>
      </c>
      <c r="D32" s="14">
        <f>'RUF WORK FIXED ASSET'!D59</f>
        <v>32927.36</v>
      </c>
      <c r="E32" s="14">
        <f>'RUF WORK FIXED ASSET'!E59</f>
        <v>0</v>
      </c>
      <c r="F32" s="14">
        <f>'RUF WORK FIXED ASSET'!F59</f>
        <v>0</v>
      </c>
      <c r="G32" s="14">
        <f>'RUF WORK FIXED ASSET'!G59</f>
        <v>0</v>
      </c>
      <c r="H32" s="14">
        <f>'RUF WORK FIXED ASSET'!H59</f>
        <v>32927.36</v>
      </c>
      <c r="I32" s="14">
        <f>'RUF WORK FIXED ASSET'!I59</f>
        <v>8231.36</v>
      </c>
      <c r="J32" s="14">
        <f>'RUF WORK FIXED ASSET'!J59</f>
        <v>10975.78</v>
      </c>
      <c r="K32" s="14">
        <f>'RUF WORK FIXED ASSET'!K59</f>
        <v>24696</v>
      </c>
    </row>
    <row r="33" spans="1:11" ht="12.75">
      <c r="A33" s="55"/>
      <c r="C33" s="56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55">
        <f>A32+1</f>
        <v>12</v>
      </c>
      <c r="B34" s="5" t="s">
        <v>631</v>
      </c>
      <c r="C34" s="56">
        <v>0.15</v>
      </c>
      <c r="D34" s="14">
        <f>'RUF WORK FIXED ASSET'!D66</f>
        <v>5299568.9</v>
      </c>
      <c r="E34" s="14">
        <f>'RUF WORK FIXED ASSET'!E66</f>
        <v>916108</v>
      </c>
      <c r="F34" s="14">
        <f>'RUF WORK FIXED ASSET'!F66</f>
        <v>349288</v>
      </c>
      <c r="G34" s="14">
        <f>'RUF WORK FIXED ASSET'!G66</f>
        <v>0</v>
      </c>
      <c r="H34" s="14">
        <f>'RUF WORK FIXED ASSET'!H66</f>
        <v>6564964.9</v>
      </c>
      <c r="I34" s="14">
        <f>'RUF WORK FIXED ASSET'!I66</f>
        <v>958546.895</v>
      </c>
      <c r="J34" s="14">
        <f>'RUF WORK FIXED ASSET'!J66</f>
        <v>863190.2535000001</v>
      </c>
      <c r="K34" s="14">
        <f>'RUF WORK FIXED ASSET'!K66</f>
        <v>5606417.9969999995</v>
      </c>
    </row>
    <row r="35" spans="1:11" ht="12.75">
      <c r="A35" s="55"/>
      <c r="C35" s="56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5">
        <f>A34+1</f>
        <v>13</v>
      </c>
      <c r="B36" s="5" t="s">
        <v>632</v>
      </c>
      <c r="C36" s="56">
        <v>0.25</v>
      </c>
      <c r="D36" s="14">
        <f>'RUF WORK FIXED ASSET'!D70</f>
        <v>23787.489999999998</v>
      </c>
      <c r="E36" s="14">
        <f>'RUF WORK FIXED ASSET'!E70</f>
        <v>0</v>
      </c>
      <c r="F36" s="14">
        <f>'RUF WORK FIXED ASSET'!F70</f>
        <v>8000</v>
      </c>
      <c r="G36" s="14">
        <f>'RUF WORK FIXED ASSET'!G70</f>
        <v>0</v>
      </c>
      <c r="H36" s="14">
        <f>'RUF WORK FIXED ASSET'!H70</f>
        <v>31787.489999999998</v>
      </c>
      <c r="I36" s="14">
        <f>'RUF WORK FIXED ASSET'!I70</f>
        <v>6947.4825</v>
      </c>
      <c r="J36" s="14">
        <f>'RUF WORK FIXED ASSET'!J70</f>
        <v>3929.16</v>
      </c>
      <c r="K36" s="14">
        <f>'RUF WORK FIXED ASSET'!K70</f>
        <v>24839.997499999998</v>
      </c>
    </row>
    <row r="37" spans="1:11" ht="12.75">
      <c r="A37" s="55"/>
      <c r="C37" s="56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55">
        <f>A36+1</f>
        <v>14</v>
      </c>
      <c r="B38" s="5" t="s">
        <v>633</v>
      </c>
      <c r="C38" s="56">
        <v>0.25</v>
      </c>
      <c r="D38" s="14">
        <f>'RUF WORK FIXED ASSET'!D73</f>
        <v>39771.23</v>
      </c>
      <c r="E38" s="14">
        <f>'RUF WORK FIXED ASSET'!E73</f>
        <v>16815</v>
      </c>
      <c r="F38" s="14">
        <f>'RUF WORK FIXED ASSET'!F73</f>
        <v>0</v>
      </c>
      <c r="G38" s="14">
        <f>'RUF WORK FIXED ASSET'!G73</f>
        <v>0</v>
      </c>
      <c r="H38" s="14">
        <f>'RUF WORK FIXED ASSET'!H73</f>
        <v>56586.23</v>
      </c>
      <c r="I38" s="14">
        <f>'RUF WORK FIXED ASSET'!I73</f>
        <v>14146.2275</v>
      </c>
      <c r="J38" s="14">
        <f>'RUF WORK FIXED ASSET'!J73</f>
        <v>10735.41</v>
      </c>
      <c r="K38" s="14">
        <f>'RUF WORK FIXED ASSET'!K73</f>
        <v>42440.0025</v>
      </c>
    </row>
    <row r="39" spans="1:11" ht="12.75">
      <c r="A39" s="55"/>
      <c r="C39" s="56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55">
        <f>A38+1</f>
        <v>15</v>
      </c>
      <c r="B40" s="5" t="s">
        <v>634</v>
      </c>
      <c r="C40" s="56">
        <v>0.25</v>
      </c>
      <c r="D40" s="14">
        <f>'RUF WORK FIXED ASSET'!D76</f>
        <v>95138.02</v>
      </c>
      <c r="E40" s="14">
        <f>'RUF WORK FIXED ASSET'!E76</f>
        <v>47084</v>
      </c>
      <c r="F40" s="14">
        <f>'RUF WORK FIXED ASSET'!F76</f>
        <v>4561</v>
      </c>
      <c r="G40" s="14">
        <f>'RUF WORK FIXED ASSET'!G76</f>
        <v>0</v>
      </c>
      <c r="H40" s="14">
        <f>'RUF WORK FIXED ASSET'!H76</f>
        <v>146783.02000000002</v>
      </c>
      <c r="I40" s="14">
        <f>'RUF WORK FIXED ASSET'!I76</f>
        <v>36126.020000000004</v>
      </c>
      <c r="J40" s="14">
        <f>'RUF WORK FIXED ASSET'!J76</f>
        <v>25491.352499999997</v>
      </c>
      <c r="K40" s="14">
        <f>'RUF WORK FIXED ASSET'!K76</f>
        <v>110657.00000000001</v>
      </c>
    </row>
    <row r="41" spans="1:11" ht="12.75">
      <c r="A41" s="55"/>
      <c r="C41" s="56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55">
        <f>A40+1</f>
        <v>16</v>
      </c>
      <c r="B42" s="5" t="s">
        <v>635</v>
      </c>
      <c r="C42" s="56">
        <v>0.25</v>
      </c>
      <c r="D42" s="14">
        <f>'RUF WORK FIXED ASSET'!D87</f>
        <v>1261052.45</v>
      </c>
      <c r="E42" s="14">
        <f>'RUF WORK FIXED ASSET'!E87</f>
        <v>60069</v>
      </c>
      <c r="F42" s="14">
        <f>'RUF WORK FIXED ASSET'!F87</f>
        <v>2825794</v>
      </c>
      <c r="G42" s="14">
        <f>'RUF WORK FIXED ASSET'!G87</f>
        <v>12750</v>
      </c>
      <c r="H42" s="14">
        <f>'RUF WORK FIXED ASSET'!H87</f>
        <v>4134165.45</v>
      </c>
      <c r="I42" s="14">
        <f>'RUF WORK FIXED ASSET'!I87</f>
        <v>681911.4224999999</v>
      </c>
      <c r="J42" s="14">
        <f>'RUF WORK FIXED ASSET'!J87</f>
        <v>372520.98</v>
      </c>
      <c r="K42" s="14">
        <f>'RUF WORK FIXED ASSET'!K87</f>
        <v>3452253.9955000007</v>
      </c>
    </row>
    <row r="43" spans="1:11" ht="12.75">
      <c r="A43" s="55"/>
      <c r="C43" s="56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55">
        <f>A42+1</f>
        <v>17</v>
      </c>
      <c r="B44" s="5" t="s">
        <v>636</v>
      </c>
      <c r="C44" s="56">
        <v>0.25</v>
      </c>
      <c r="D44" s="14">
        <f>'RUF WORK FIXED ASSET'!D91</f>
        <v>5690.56</v>
      </c>
      <c r="E44" s="14">
        <f>'RUF WORK FIXED ASSET'!E91</f>
        <v>18000</v>
      </c>
      <c r="F44" s="14">
        <f>'RUF WORK FIXED ASSET'!F91</f>
        <v>0</v>
      </c>
      <c r="G44" s="14">
        <f>'RUF WORK FIXED ASSET'!G91</f>
        <v>0</v>
      </c>
      <c r="H44" s="14">
        <f>'RUF WORK FIXED ASSET'!H91</f>
        <v>23690.56</v>
      </c>
      <c r="I44" s="14">
        <f>'RUF WORK FIXED ASSET'!I91</f>
        <v>5922.56</v>
      </c>
      <c r="J44" s="14">
        <f>'RUF WORK FIXED ASSET'!J91</f>
        <v>1896.86</v>
      </c>
      <c r="K44" s="14">
        <f>'RUF WORK FIXED ASSET'!K91</f>
        <v>17768</v>
      </c>
    </row>
    <row r="45" spans="1:11" ht="12.75">
      <c r="A45" s="55"/>
      <c r="C45" s="56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55">
        <f>A44+1</f>
        <v>18</v>
      </c>
      <c r="B46" s="5" t="s">
        <v>637</v>
      </c>
      <c r="C46" s="56">
        <v>0.25</v>
      </c>
      <c r="D46" s="14">
        <f>'RUF WORK FIXED ASSET'!D96</f>
        <v>1663088.87</v>
      </c>
      <c r="E46" s="14">
        <f>'RUF WORK FIXED ASSET'!E96</f>
        <v>172829.5</v>
      </c>
      <c r="F46" s="14">
        <f>'RUF WORK FIXED ASSET'!F96</f>
        <v>541967</v>
      </c>
      <c r="G46" s="14">
        <f>'RUF WORK FIXED ASSET'!G96</f>
        <v>0</v>
      </c>
      <c r="H46" s="14">
        <f>'RUF WORK FIXED ASSET'!H96</f>
        <v>2377885.37</v>
      </c>
      <c r="I46" s="14">
        <f>'RUF WORK FIXED ASSET'!I96</f>
        <v>526725.3675</v>
      </c>
      <c r="J46" s="14">
        <f>'RUF WORK FIXED ASSET'!J96</f>
        <v>474061.63</v>
      </c>
      <c r="K46" s="14">
        <f>'RUF WORK FIXED ASSET'!K96</f>
        <v>1851159.9975</v>
      </c>
    </row>
    <row r="47" spans="1:11" ht="12.75">
      <c r="A47" s="55"/>
      <c r="C47" s="56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55">
        <f>A46+1</f>
        <v>19</v>
      </c>
      <c r="B48" s="5" t="s">
        <v>638</v>
      </c>
      <c r="C48" s="56">
        <v>0.25</v>
      </c>
      <c r="D48" s="14">
        <f>'RUF WORK FIXED ASSET'!D100</f>
        <v>15812.75</v>
      </c>
      <c r="E48" s="14">
        <f>'RUF WORK FIXED ASSET'!E100</f>
        <v>3795</v>
      </c>
      <c r="F48" s="14">
        <f>'RUF WORK FIXED ASSET'!F100</f>
        <v>1800</v>
      </c>
      <c r="G48" s="14">
        <f>'RUF WORK FIXED ASSET'!G100</f>
        <v>0</v>
      </c>
      <c r="H48" s="14">
        <f>'RUF WORK FIXED ASSET'!H100</f>
        <v>21407.75</v>
      </c>
      <c r="I48" s="14">
        <f>'RUF WORK FIXED ASSET'!I100</f>
        <v>5126.7475</v>
      </c>
      <c r="J48" s="14">
        <f>'RUF WORK FIXED ASSET'!J100</f>
        <v>4187.59</v>
      </c>
      <c r="K48" s="14">
        <f>'RUF WORK FIXED ASSET'!K100</f>
        <v>16281.0005</v>
      </c>
    </row>
    <row r="49" spans="1:11" ht="12.75">
      <c r="A49" s="55"/>
      <c r="C49" s="56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55">
        <f>A48+1</f>
        <v>20</v>
      </c>
      <c r="B50" s="5" t="s">
        <v>639</v>
      </c>
      <c r="C50" s="56">
        <v>0.25</v>
      </c>
      <c r="D50" s="14">
        <f>'RUF WORK FIXED ASSET'!D106</f>
        <v>331286.59</v>
      </c>
      <c r="E50" s="14">
        <f>'RUF WORK FIXED ASSET'!E106</f>
        <v>31375</v>
      </c>
      <c r="F50" s="14">
        <f>'RUF WORK FIXED ASSET'!F106</f>
        <v>103926</v>
      </c>
      <c r="G50" s="14">
        <f>'RUF WORK FIXED ASSET'!G106</f>
        <v>0</v>
      </c>
      <c r="H50" s="14">
        <f>'RUF WORK FIXED ASSET'!H106</f>
        <v>466587.59</v>
      </c>
      <c r="I50" s="14">
        <f>'RUF WORK FIXED ASSET'!I106</f>
        <v>103655.5875</v>
      </c>
      <c r="J50" s="14">
        <f>'RUF WORK FIXED ASSET'!J106</f>
        <v>90522.86</v>
      </c>
      <c r="K50" s="14">
        <f>'RUF WORK FIXED ASSET'!K106</f>
        <v>362932.00049999997</v>
      </c>
    </row>
    <row r="51" spans="1:11" ht="12.75">
      <c r="A51" s="55"/>
      <c r="C51" s="56"/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55">
        <f>A50+1</f>
        <v>21</v>
      </c>
      <c r="B52" s="5" t="s">
        <v>640</v>
      </c>
      <c r="C52" s="56">
        <v>0.25</v>
      </c>
      <c r="D52" s="14">
        <f>'RUF WORK FIXED ASSET'!D111</f>
        <v>1367616.1099999999</v>
      </c>
      <c r="E52" s="14">
        <f>'RUF WORK FIXED ASSET'!E111</f>
        <v>107992.31</v>
      </c>
      <c r="F52" s="14">
        <f>'RUF WORK FIXED ASSET'!F111</f>
        <v>453166</v>
      </c>
      <c r="G52" s="14">
        <f>'RUF WORK FIXED ASSET'!G111</f>
        <v>0</v>
      </c>
      <c r="H52" s="14">
        <f>'RUF WORK FIXED ASSET'!H111</f>
        <v>1928774.42</v>
      </c>
      <c r="I52" s="14">
        <f>'RUF WORK FIXED ASSET'!I111</f>
        <v>425548.41500000004</v>
      </c>
      <c r="J52" s="14">
        <f>'RUF WORK FIXED ASSET'!J111</f>
        <v>373069.52</v>
      </c>
      <c r="K52" s="14">
        <f>'RUF WORK FIXED ASSET'!K111</f>
        <v>1503225.995</v>
      </c>
    </row>
    <row r="53" spans="1:11" ht="12.75">
      <c r="A53" s="55"/>
      <c r="C53" s="56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55">
        <f>A52+1</f>
        <v>22</v>
      </c>
      <c r="B54" s="4" t="s">
        <v>641</v>
      </c>
      <c r="C54" s="56">
        <v>0.25</v>
      </c>
      <c r="D54" s="14">
        <f>'RUF WORK FIXED ASSET'!D114</f>
        <v>125560.31</v>
      </c>
      <c r="E54" s="14">
        <f>'RUF WORK FIXED ASSET'!E114</f>
        <v>0</v>
      </c>
      <c r="F54" s="14">
        <f>'RUF WORK FIXED ASSET'!F114</f>
        <v>0</v>
      </c>
      <c r="G54" s="14">
        <f>'RUF WORK FIXED ASSET'!G114</f>
        <v>0</v>
      </c>
      <c r="H54" s="14">
        <f>'RUF WORK FIXED ASSET'!H114</f>
        <v>125560.31</v>
      </c>
      <c r="I54" s="14">
        <f>'RUF WORK FIXED ASSET'!I114</f>
        <v>31390.3075</v>
      </c>
      <c r="J54" s="14">
        <f>'RUF WORK FIXED ASSET'!J114</f>
        <v>41853.44</v>
      </c>
      <c r="K54" s="14">
        <f>'RUF WORK FIXED ASSET'!K114</f>
        <v>94170.0025</v>
      </c>
    </row>
    <row r="55" spans="1:11" ht="12.75">
      <c r="A55" s="55"/>
      <c r="B55" s="4"/>
      <c r="C55" s="56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55">
        <f>A54+1</f>
        <v>23</v>
      </c>
      <c r="B56" s="5" t="s">
        <v>642</v>
      </c>
      <c r="C56" s="56">
        <v>0.25</v>
      </c>
      <c r="D56" s="14">
        <f>'RUF WORK FIXED ASSET'!D118</f>
        <v>120753.42000000001</v>
      </c>
      <c r="E56" s="14">
        <f>'RUF WORK FIXED ASSET'!E118</f>
        <v>0</v>
      </c>
      <c r="F56" s="14">
        <f>'RUF WORK FIXED ASSET'!F118</f>
        <v>0</v>
      </c>
      <c r="G56" s="14">
        <f>'RUF WORK FIXED ASSET'!G118</f>
        <v>0</v>
      </c>
      <c r="H56" s="14">
        <f>'RUF WORK FIXED ASSET'!H118</f>
        <v>120753.42000000001</v>
      </c>
      <c r="I56" s="14">
        <f>'RUF WORK FIXED ASSET'!I118</f>
        <v>30188.414999999997</v>
      </c>
      <c r="J56" s="14">
        <f>'RUF WORK FIXED ASSET'!J118</f>
        <v>40251.14</v>
      </c>
      <c r="K56" s="14">
        <f>'RUF WORK FIXED ASSET'!K118</f>
        <v>90564.995</v>
      </c>
    </row>
    <row r="57" spans="1:11" ht="12.75">
      <c r="A57" s="55"/>
      <c r="C57" s="56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55">
        <f>A56+1</f>
        <v>24</v>
      </c>
      <c r="B58" s="5" t="s">
        <v>643</v>
      </c>
      <c r="C58" s="56">
        <v>0.25</v>
      </c>
      <c r="D58" s="14">
        <f>'RUF WORK FIXED ASSET'!D121</f>
        <v>125806.4</v>
      </c>
      <c r="E58" s="14">
        <f>'RUF WORK FIXED ASSET'!E121</f>
        <v>0</v>
      </c>
      <c r="F58" s="14">
        <f>'RUF WORK FIXED ASSET'!F121</f>
        <v>19487</v>
      </c>
      <c r="G58" s="14">
        <f>'RUF WORK FIXED ASSET'!G121</f>
        <v>0</v>
      </c>
      <c r="H58" s="14">
        <f>'RUF WORK FIXED ASSET'!H121</f>
        <v>145293.4</v>
      </c>
      <c r="I58" s="14">
        <f>'RUF WORK FIXED ASSET'!I121</f>
        <v>33887.405</v>
      </c>
      <c r="J58" s="14">
        <f>'RUF WORK FIXED ASSET'!J121</f>
        <v>41935.47</v>
      </c>
      <c r="K58" s="14">
        <f>'RUF WORK FIXED ASSET'!K121</f>
        <v>111405.995</v>
      </c>
    </row>
    <row r="59" spans="1:11" ht="12.75">
      <c r="A59" s="55"/>
      <c r="C59" s="56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55">
        <f>A58+1</f>
        <v>25</v>
      </c>
      <c r="B60" s="5" t="s">
        <v>644</v>
      </c>
      <c r="C60" s="56">
        <v>0.25</v>
      </c>
      <c r="D60" s="14">
        <f>'RUF WORK FIXED ASSET'!D124</f>
        <v>117018.98</v>
      </c>
      <c r="E60" s="14">
        <f>'RUF WORK FIXED ASSET'!E124</f>
        <v>81446</v>
      </c>
      <c r="F60" s="14">
        <f>'RUF WORK FIXED ASSET'!F124</f>
        <v>0</v>
      </c>
      <c r="G60" s="14">
        <f>'RUF WORK FIXED ASSET'!G124</f>
        <v>0</v>
      </c>
      <c r="H60" s="14">
        <f>'RUF WORK FIXED ASSET'!H124</f>
        <v>198464.97999999998</v>
      </c>
      <c r="I60" s="14">
        <f>'RUF WORK FIXED ASSET'!I124</f>
        <v>49615.975</v>
      </c>
      <c r="J60" s="14">
        <f>'RUF WORK FIXED ASSET'!J124</f>
        <v>39006.3275</v>
      </c>
      <c r="K60" s="14">
        <f>'RUF WORK FIXED ASSET'!K124</f>
        <v>148848.99499999997</v>
      </c>
    </row>
    <row r="61" spans="1:11" ht="12.75">
      <c r="A61" s="55"/>
      <c r="C61" s="56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55">
        <f>A60+1</f>
        <v>26</v>
      </c>
      <c r="B62" s="5" t="s">
        <v>645</v>
      </c>
      <c r="C62" s="56">
        <v>0.25</v>
      </c>
      <c r="D62" s="14">
        <f>'RUF WORK FIXED ASSET'!D130</f>
        <v>173210.31</v>
      </c>
      <c r="E62" s="14">
        <f>'RUF WORK FIXED ASSET'!E130</f>
        <v>110000</v>
      </c>
      <c r="F62" s="14">
        <f>'RUF WORK FIXED ASSET'!F130</f>
        <v>28000</v>
      </c>
      <c r="G62" s="14">
        <f>'RUF WORK FIXED ASSET'!G130</f>
        <v>83.15</v>
      </c>
      <c r="H62" s="14">
        <f>'RUF WORK FIXED ASSET'!H130</f>
        <v>311127.16</v>
      </c>
      <c r="I62" s="14">
        <f>'RUF WORK FIXED ASSET'!I130</f>
        <v>74282.16</v>
      </c>
      <c r="J62" s="14">
        <f>'RUF WORK FIXED ASSET'!J130</f>
        <v>57736.770000000004</v>
      </c>
      <c r="K62" s="14">
        <f>'RUF WORK FIXED ASSET'!K130</f>
        <v>236845</v>
      </c>
    </row>
    <row r="63" spans="1:11" ht="12.75">
      <c r="A63" s="55"/>
      <c r="C63" s="56"/>
      <c r="D63" s="14"/>
      <c r="E63" s="14"/>
      <c r="F63" s="14"/>
      <c r="G63" s="14"/>
      <c r="H63" s="14"/>
      <c r="I63" s="14"/>
      <c r="J63" s="14"/>
      <c r="K63" s="14"/>
    </row>
    <row r="64" spans="1:11" ht="12.75">
      <c r="A64" s="55">
        <f>A62+1</f>
        <v>27</v>
      </c>
      <c r="B64" s="5" t="s">
        <v>646</v>
      </c>
      <c r="C64" s="56">
        <v>0.25</v>
      </c>
      <c r="D64" s="14">
        <f>'RUF WORK FIXED ASSET'!D136</f>
        <v>53202.67</v>
      </c>
      <c r="E64" s="14">
        <f>'RUF WORK FIXED ASSET'!E136</f>
        <v>78390</v>
      </c>
      <c r="F64" s="14">
        <f>'RUF WORK FIXED ASSET'!F136</f>
        <v>71425</v>
      </c>
      <c r="G64" s="14">
        <f>'RUF WORK FIXED ASSET'!G136</f>
        <v>53.83</v>
      </c>
      <c r="H64" s="14">
        <f>'RUF WORK FIXED ASSET'!H136</f>
        <v>202963.84000000003</v>
      </c>
      <c r="I64" s="14">
        <f>'RUF WORK FIXED ASSET'!I136</f>
        <v>41812.83500000001</v>
      </c>
      <c r="J64" s="14">
        <f>'RUF WORK FIXED ASSET'!J136</f>
        <v>17734.22</v>
      </c>
      <c r="K64" s="14">
        <f>'RUF WORK FIXED ASSET'!K136</f>
        <v>161150.995</v>
      </c>
    </row>
    <row r="65" spans="1:11" ht="12.75">
      <c r="A65" s="55"/>
      <c r="C65" s="56"/>
      <c r="D65" s="14"/>
      <c r="E65" s="14"/>
      <c r="F65" s="14"/>
      <c r="G65" s="14"/>
      <c r="H65" s="14"/>
      <c r="I65" s="14"/>
      <c r="J65" s="14"/>
      <c r="K65" s="14"/>
    </row>
    <row r="66" spans="1:11" ht="12.75">
      <c r="A66" s="55">
        <f>A64+1</f>
        <v>28</v>
      </c>
      <c r="B66" s="5" t="s">
        <v>647</v>
      </c>
      <c r="C66" s="56">
        <v>0.25</v>
      </c>
      <c r="D66" s="14">
        <f>'RUF WORK FIXED ASSET'!D142</f>
        <v>199847.62</v>
      </c>
      <c r="E66" s="14">
        <f>'RUF WORK FIXED ASSET'!E142</f>
        <v>1053360</v>
      </c>
      <c r="F66" s="14">
        <f>'RUF WORK FIXED ASSET'!F142</f>
        <v>53190</v>
      </c>
      <c r="G66" s="14">
        <f>'RUF WORK FIXED ASSET'!G142</f>
        <v>12996</v>
      </c>
      <c r="H66" s="14">
        <f>'RUF WORK FIXED ASSET'!H142</f>
        <v>1293401.6199999999</v>
      </c>
      <c r="I66" s="14">
        <f>'RUF WORK FIXED ASSET'!I142</f>
        <v>318326.615</v>
      </c>
      <c r="J66" s="14">
        <f>'RUF WORK FIXED ASSET'!J142</f>
        <v>60832.54</v>
      </c>
      <c r="K66" s="14">
        <f>'RUF WORK FIXED ASSET'!K142</f>
        <v>975074.9959999999</v>
      </c>
    </row>
    <row r="67" spans="1:11" ht="12.75">
      <c r="A67" s="55"/>
      <c r="C67" s="56"/>
      <c r="D67" s="14"/>
      <c r="E67" s="14"/>
      <c r="F67" s="14"/>
      <c r="G67" s="14"/>
      <c r="H67" s="14"/>
      <c r="I67" s="14"/>
      <c r="J67" s="14"/>
      <c r="K67" s="14"/>
    </row>
    <row r="68" spans="1:11" ht="12.75">
      <c r="A68" s="55">
        <f>A66+1</f>
        <v>29</v>
      </c>
      <c r="B68" s="5" t="s">
        <v>648</v>
      </c>
      <c r="C68" s="56">
        <v>0.25</v>
      </c>
      <c r="D68" s="14">
        <f>'RUF WORK FIXED ASSET'!D147</f>
        <v>15799.98</v>
      </c>
      <c r="E68" s="14">
        <f>'RUF WORK FIXED ASSET'!E147</f>
        <v>0</v>
      </c>
      <c r="F68" s="14">
        <f>'RUF WORK FIXED ASSET'!F147</f>
        <v>83794</v>
      </c>
      <c r="G68" s="14">
        <f>'RUF WORK FIXED ASSET'!G147</f>
        <v>12271.98</v>
      </c>
      <c r="H68" s="14">
        <f>'RUF WORK FIXED ASSET'!H147</f>
        <v>87322</v>
      </c>
      <c r="I68" s="14">
        <f>'RUF WORK FIXED ASSET'!I147</f>
        <v>14003.000739726027</v>
      </c>
      <c r="J68" s="14">
        <f>'RUF WORK FIXED ASSET'!J147</f>
        <v>5266.66</v>
      </c>
      <c r="K68" s="14">
        <f>'RUF WORK FIXED ASSET'!K147</f>
        <v>73318.99926027397</v>
      </c>
    </row>
    <row r="69" spans="1:11" ht="12.75">
      <c r="A69" s="55"/>
      <c r="C69" s="56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55">
        <f>A68+1</f>
        <v>30</v>
      </c>
      <c r="B70" s="4" t="s">
        <v>649</v>
      </c>
      <c r="C70" s="56">
        <v>0.25</v>
      </c>
      <c r="D70" s="14">
        <f>'RUF WORK FIXED ASSET'!D150</f>
        <v>92.56</v>
      </c>
      <c r="E70" s="14">
        <f>'RUF WORK FIXED ASSET'!E150</f>
        <v>0</v>
      </c>
      <c r="F70" s="14">
        <f>'RUF WORK FIXED ASSET'!F150</f>
        <v>0</v>
      </c>
      <c r="G70" s="14">
        <f>'RUF WORK FIXED ASSET'!G150</f>
        <v>92.56</v>
      </c>
      <c r="H70" s="14">
        <f>'RUF WORK FIXED ASSET'!H150</f>
        <v>0</v>
      </c>
      <c r="I70" s="14">
        <f>'RUF WORK FIXED ASSET'!I150</f>
        <v>0</v>
      </c>
      <c r="J70" s="14">
        <f>'RUF WORK FIXED ASSET'!J150</f>
        <v>30.85</v>
      </c>
      <c r="K70" s="14">
        <f>'RUF WORK FIXED ASSET'!K150</f>
        <v>0</v>
      </c>
    </row>
    <row r="71" spans="1:11" ht="12.75">
      <c r="A71" s="55"/>
      <c r="B71" s="4"/>
      <c r="C71" s="56"/>
      <c r="D71" s="14"/>
      <c r="E71" s="14"/>
      <c r="F71" s="14"/>
      <c r="G71" s="14"/>
      <c r="H71" s="14"/>
      <c r="I71" s="14"/>
      <c r="J71" s="14"/>
      <c r="K71" s="14"/>
    </row>
    <row r="72" spans="1:11" ht="12.75">
      <c r="A72" s="55">
        <f>A70+1</f>
        <v>31</v>
      </c>
      <c r="B72" s="5" t="s">
        <v>650</v>
      </c>
      <c r="C72" s="56">
        <v>0.2</v>
      </c>
      <c r="D72" s="14">
        <f>'RUF WORK FIXED ASSET'!D179</f>
        <v>4571787.41</v>
      </c>
      <c r="E72" s="14">
        <f>'RUF WORK FIXED ASSET'!E179</f>
        <v>5026636</v>
      </c>
      <c r="F72" s="14">
        <f>'RUF WORK FIXED ASSET'!F179</f>
        <v>8087910</v>
      </c>
      <c r="G72" s="14">
        <f>'RUF WORK FIXED ASSET'!G179</f>
        <v>0</v>
      </c>
      <c r="H72" s="14">
        <f>'RUF WORK FIXED ASSET'!H179</f>
        <v>17686333.41</v>
      </c>
      <c r="I72" s="14">
        <f>'RUF WORK FIXED ASSET'!I179</f>
        <v>2728708.412</v>
      </c>
      <c r="J72" s="14">
        <f>'RUF WORK FIXED ASSET'!J179</f>
        <v>1142010.42</v>
      </c>
      <c r="K72" s="14">
        <f>'RUF WORK FIXED ASSET'!K179</f>
        <v>14957624.998</v>
      </c>
    </row>
    <row r="73" spans="1:11" ht="12.75">
      <c r="A73" s="55"/>
      <c r="C73" s="56"/>
      <c r="D73" s="14"/>
      <c r="E73" s="14"/>
      <c r="F73" s="14"/>
      <c r="G73" s="14"/>
      <c r="H73" s="14"/>
      <c r="I73" s="14"/>
      <c r="J73" s="14"/>
      <c r="K73" s="14"/>
    </row>
    <row r="74" spans="1:11" ht="12.75">
      <c r="A74" s="55">
        <f>A72+1</f>
        <v>32</v>
      </c>
      <c r="B74" s="5" t="s">
        <v>843</v>
      </c>
      <c r="C74" s="56">
        <v>0.25</v>
      </c>
      <c r="D74" s="14">
        <f>'RUF WORK FIXED ASSET'!D183</f>
        <v>0</v>
      </c>
      <c r="E74" s="14">
        <f>'RUF WORK FIXED ASSET'!E183</f>
        <v>0</v>
      </c>
      <c r="F74" s="14">
        <f>'RUF WORK FIXED ASSET'!F183</f>
        <v>251900</v>
      </c>
      <c r="G74" s="14">
        <f>'RUF WORK FIXED ASSET'!G183</f>
        <v>0</v>
      </c>
      <c r="H74" s="14">
        <f>'RUF WORK FIXED ASSET'!H183</f>
        <v>251900</v>
      </c>
      <c r="I74" s="14">
        <f>'RUF WORK FIXED ASSET'!I183</f>
        <v>31488</v>
      </c>
      <c r="J74" s="14">
        <f>'RUF WORK FIXED ASSET'!J183</f>
        <v>0</v>
      </c>
      <c r="K74" s="14">
        <f>'RUF WORK FIXED ASSET'!K183</f>
        <v>220412</v>
      </c>
    </row>
    <row r="75" spans="1:11" ht="12.75">
      <c r="A75" s="55"/>
      <c r="C75" s="56"/>
      <c r="D75" s="14"/>
      <c r="E75" s="14"/>
      <c r="F75" s="14"/>
      <c r="G75" s="14"/>
      <c r="H75" s="14"/>
      <c r="I75" s="14"/>
      <c r="J75" s="14"/>
      <c r="K75" s="14"/>
    </row>
    <row r="76" spans="1:11" ht="12.75">
      <c r="A76" s="55">
        <f>A74+1</f>
        <v>33</v>
      </c>
      <c r="B76" s="5" t="s">
        <v>651</v>
      </c>
      <c r="C76" s="56">
        <v>0.25</v>
      </c>
      <c r="D76" s="14">
        <f>'RUF WORK FIXED ASSET'!D186</f>
        <v>169511.86</v>
      </c>
      <c r="E76" s="14">
        <f>'RUF WORK FIXED ASSET'!E186</f>
        <v>65484</v>
      </c>
      <c r="F76" s="14">
        <f>'RUF WORK FIXED ASSET'!F186</f>
        <v>0</v>
      </c>
      <c r="G76" s="14">
        <f>'RUF WORK FIXED ASSET'!G186</f>
        <v>0</v>
      </c>
      <c r="H76" s="14">
        <f>'RUF WORK FIXED ASSET'!H186</f>
        <v>234995.86</v>
      </c>
      <c r="I76" s="14">
        <f>'RUF WORK FIXED ASSET'!I186</f>
        <v>58748.854999999996</v>
      </c>
      <c r="J76" s="14">
        <f>'RUF WORK FIXED ASSET'!J186</f>
        <v>56503.96</v>
      </c>
      <c r="K76" s="14">
        <f>'RUF WORK FIXED ASSET'!K186</f>
        <v>176246.995</v>
      </c>
    </row>
    <row r="77" spans="1:11" ht="12.75">
      <c r="A77" s="55"/>
      <c r="C77" s="56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s="55">
        <f>A76+1</f>
        <v>34</v>
      </c>
      <c r="B78" s="5" t="s">
        <v>652</v>
      </c>
      <c r="C78" s="56">
        <v>0.25</v>
      </c>
      <c r="D78" s="14">
        <f>'RUF WORK FIXED ASSET'!D189</f>
        <v>51786</v>
      </c>
      <c r="E78" s="14">
        <f>'RUF WORK FIXED ASSET'!E189</f>
        <v>48285</v>
      </c>
      <c r="F78" s="14">
        <f>'RUF WORK FIXED ASSET'!F189</f>
        <v>0</v>
      </c>
      <c r="G78" s="14">
        <f>'RUF WORK FIXED ASSET'!G189</f>
        <v>0</v>
      </c>
      <c r="H78" s="14">
        <f>'RUF WORK FIXED ASSET'!H189</f>
        <v>100071</v>
      </c>
      <c r="I78" s="14">
        <f>'RUF WORK FIXED ASSET'!I189</f>
        <v>25018</v>
      </c>
      <c r="J78" s="14">
        <f>'RUF WORK FIXED ASSET'!J189</f>
        <v>17262</v>
      </c>
      <c r="K78" s="14">
        <f>'RUF WORK FIXED ASSET'!K189</f>
        <v>75053</v>
      </c>
    </row>
    <row r="79" spans="1:11" ht="12.75">
      <c r="A79" s="55"/>
      <c r="C79" s="56"/>
      <c r="D79" s="14"/>
      <c r="E79" s="14"/>
      <c r="F79" s="14"/>
      <c r="G79" s="14"/>
      <c r="H79" s="14"/>
      <c r="I79" s="14"/>
      <c r="J79" s="14"/>
      <c r="K79" s="14"/>
    </row>
    <row r="80" spans="1:11" ht="12.75">
      <c r="A80" s="55">
        <f>A78+1</f>
        <v>35</v>
      </c>
      <c r="B80" s="5" t="s">
        <v>653</v>
      </c>
      <c r="C80" s="56">
        <v>0.25</v>
      </c>
      <c r="D80" s="14">
        <f>'RUF WORK FIXED ASSET'!D193</f>
        <v>467860.75</v>
      </c>
      <c r="E80" s="14">
        <f>'RUF WORK FIXED ASSET'!E193</f>
        <v>43617</v>
      </c>
      <c r="F80" s="14">
        <f>'RUF WORK FIXED ASSET'!F193</f>
        <v>0</v>
      </c>
      <c r="G80" s="14">
        <f>'RUF WORK FIXED ASSET'!G193</f>
        <v>0</v>
      </c>
      <c r="H80" s="14">
        <f>'RUF WORK FIXED ASSET'!H193</f>
        <v>511477.75</v>
      </c>
      <c r="I80" s="14">
        <f>'RUF WORK FIXED ASSET'!I193</f>
        <v>127868.7475</v>
      </c>
      <c r="J80" s="14">
        <f>'RUF WORK FIXED ASSET'!J193</f>
        <v>66837.25</v>
      </c>
      <c r="K80" s="14">
        <f>'RUF WORK FIXED ASSET'!K193</f>
        <v>383609.0025</v>
      </c>
    </row>
    <row r="81" spans="1:11" ht="12.75">
      <c r="A81" s="55"/>
      <c r="C81" s="56"/>
      <c r="D81" s="14"/>
      <c r="E81" s="14"/>
      <c r="F81" s="14"/>
      <c r="G81" s="14"/>
      <c r="H81" s="14"/>
      <c r="I81" s="14"/>
      <c r="J81" s="14"/>
      <c r="K81" s="14"/>
    </row>
    <row r="82" spans="1:11" ht="12.75">
      <c r="A82" s="55">
        <f>A80+1</f>
        <v>36</v>
      </c>
      <c r="B82" s="5" t="s">
        <v>654</v>
      </c>
      <c r="C82" s="56">
        <v>0</v>
      </c>
      <c r="D82" s="48">
        <f>'RUF WORK FIXED ASSET'!D196</f>
        <v>2146860</v>
      </c>
      <c r="E82" s="48">
        <f>'RUF WORK FIXED ASSET'!E196</f>
        <v>0</v>
      </c>
      <c r="F82" s="48">
        <f>'RUF WORK FIXED ASSET'!F196</f>
        <v>0</v>
      </c>
      <c r="G82" s="48">
        <f>'RUF WORK FIXED ASSET'!G196</f>
        <v>2146860</v>
      </c>
      <c r="H82" s="48">
        <f>'RUF WORK FIXED ASSET'!H196</f>
        <v>0</v>
      </c>
      <c r="I82" s="48">
        <f>'RUF WORK FIXED ASSET'!I196</f>
        <v>0</v>
      </c>
      <c r="J82" s="48">
        <f>'RUF WORK FIXED ASSET'!J196</f>
        <v>0</v>
      </c>
      <c r="K82" s="48">
        <f>'RUF WORK FIXED ASSET'!K196</f>
        <v>0</v>
      </c>
    </row>
    <row r="83" spans="4:11" ht="12.75">
      <c r="D83" s="34"/>
      <c r="E83" s="34"/>
      <c r="F83" s="34"/>
      <c r="G83" s="34"/>
      <c r="H83" s="34"/>
      <c r="I83" s="34"/>
      <c r="J83" s="34"/>
      <c r="K83" s="34"/>
    </row>
    <row r="84" spans="4:11" ht="13.5" thickBot="1">
      <c r="D84" s="34"/>
      <c r="E84" s="34"/>
      <c r="F84" s="34"/>
      <c r="G84" s="34"/>
      <c r="H84" s="34"/>
      <c r="I84" s="34"/>
      <c r="J84" s="34"/>
      <c r="K84" s="34"/>
    </row>
    <row r="85" spans="3:11" ht="15.75" thickBot="1">
      <c r="C85" s="19" t="s">
        <v>8</v>
      </c>
      <c r="D85" s="83">
        <f>SUM(D12:D82)</f>
        <v>85962904.61000004</v>
      </c>
      <c r="E85" s="84">
        <f aca="true" t="shared" si="0" ref="E85:J85">SUM(E12:E82)</f>
        <v>12994008.809999999</v>
      </c>
      <c r="F85" s="84">
        <f t="shared" si="0"/>
        <v>29210618.05</v>
      </c>
      <c r="G85" s="84">
        <f t="shared" si="0"/>
        <v>2185508.18</v>
      </c>
      <c r="H85" s="84">
        <f t="shared" si="0"/>
        <v>125982023.29</v>
      </c>
      <c r="I85" s="84">
        <f>SUM(I12:I82)+0.084</f>
        <v>14636620.288239727</v>
      </c>
      <c r="J85" s="84">
        <f t="shared" si="0"/>
        <v>11719982.874000002</v>
      </c>
      <c r="K85" s="84">
        <f>SUM(K12:K82)+0.07-0.03</f>
        <v>111345402.99776028</v>
      </c>
    </row>
    <row r="86" spans="3:11" ht="15">
      <c r="C86" s="19"/>
      <c r="D86" s="34"/>
      <c r="E86" s="34"/>
      <c r="F86" s="34"/>
      <c r="G86" s="34"/>
      <c r="H86" s="34"/>
      <c r="I86" s="34"/>
      <c r="J86" s="34"/>
      <c r="K86" s="34"/>
    </row>
    <row r="87" spans="4:11" ht="12.75">
      <c r="D87" s="14"/>
      <c r="E87" s="14"/>
      <c r="F87" s="14"/>
      <c r="G87" s="14"/>
      <c r="H87" s="14"/>
      <c r="I87" s="14"/>
      <c r="J87" s="14"/>
      <c r="K87" s="14"/>
    </row>
    <row r="88" spans="4:11" ht="12.75">
      <c r="D88" s="14"/>
      <c r="E88" s="14"/>
      <c r="F88" s="14"/>
      <c r="G88" s="14"/>
      <c r="H88" s="14"/>
      <c r="I88" s="14"/>
      <c r="J88" s="14"/>
      <c r="K88" s="14"/>
    </row>
    <row r="89" spans="4:11" ht="12.75">
      <c r="D89" s="14"/>
      <c r="E89" s="14"/>
      <c r="F89" s="14"/>
      <c r="G89" s="14"/>
      <c r="H89" s="14"/>
      <c r="I89" s="14"/>
      <c r="J89" s="14"/>
      <c r="K89" s="14"/>
    </row>
    <row r="90" spans="4:11" ht="12.75">
      <c r="D90" s="14"/>
      <c r="E90" s="14"/>
      <c r="F90" s="14"/>
      <c r="G90" s="14"/>
      <c r="H90" s="14"/>
      <c r="I90" s="14"/>
      <c r="J90" s="14"/>
      <c r="K90" s="14"/>
    </row>
    <row r="91" spans="4:11" ht="12.75">
      <c r="D91" s="14"/>
      <c r="E91" s="14"/>
      <c r="F91" s="14"/>
      <c r="G91" s="14"/>
      <c r="H91" s="14"/>
      <c r="I91" s="14"/>
      <c r="J91" s="14"/>
      <c r="K91" s="14"/>
    </row>
    <row r="92" spans="4:11" ht="12.75">
      <c r="D92" s="14"/>
      <c r="E92" s="14"/>
      <c r="F92" s="14"/>
      <c r="G92" s="14"/>
      <c r="H92" s="14"/>
      <c r="I92" s="14"/>
      <c r="J92" s="14"/>
      <c r="K92" s="14"/>
    </row>
    <row r="93" spans="4:11" ht="12.75">
      <c r="D93" s="14"/>
      <c r="E93" s="14"/>
      <c r="F93" s="14"/>
      <c r="G93" s="14"/>
      <c r="H93" s="14"/>
      <c r="I93" s="14"/>
      <c r="J93" s="14"/>
      <c r="K93" s="14"/>
    </row>
    <row r="94" spans="4:11" ht="12.75">
      <c r="D94" s="14"/>
      <c r="E94" s="14"/>
      <c r="F94" s="14"/>
      <c r="G94" s="14"/>
      <c r="H94" s="14"/>
      <c r="I94" s="14"/>
      <c r="J94" s="14"/>
      <c r="K94" s="14"/>
    </row>
    <row r="95" spans="4:11" ht="12.75">
      <c r="D95" s="14"/>
      <c r="E95" s="14"/>
      <c r="F95" s="14"/>
      <c r="G95" s="14"/>
      <c r="H95" s="14"/>
      <c r="I95" s="14"/>
      <c r="J95" s="14"/>
      <c r="K95" s="14"/>
    </row>
    <row r="96" spans="4:11" ht="12.75">
      <c r="D96" s="14"/>
      <c r="E96" s="14"/>
      <c r="F96" s="14"/>
      <c r="G96" s="14"/>
      <c r="H96" s="14"/>
      <c r="I96" s="14"/>
      <c r="J96" s="14"/>
      <c r="K96" s="14"/>
    </row>
    <row r="97" spans="4:11" ht="12.75">
      <c r="D97" s="14"/>
      <c r="E97" s="14"/>
      <c r="F97" s="14"/>
      <c r="G97" s="14"/>
      <c r="H97" s="14"/>
      <c r="I97" s="14"/>
      <c r="J97" s="14"/>
      <c r="K97" s="14"/>
    </row>
    <row r="98" spans="4:11" ht="12.75">
      <c r="D98" s="14"/>
      <c r="E98" s="14"/>
      <c r="F98" s="14"/>
      <c r="G98" s="14"/>
      <c r="H98" s="14"/>
      <c r="I98" s="14"/>
      <c r="J98" s="14"/>
      <c r="K98" s="14"/>
    </row>
    <row r="99" spans="4:11" ht="12.75">
      <c r="D99" s="14"/>
      <c r="E99" s="14"/>
      <c r="F99" s="14"/>
      <c r="G99" s="14"/>
      <c r="H99" s="14"/>
      <c r="I99" s="14"/>
      <c r="J99" s="14"/>
      <c r="K99" s="14"/>
    </row>
    <row r="100" spans="4:11" ht="12.75">
      <c r="D100" s="14"/>
      <c r="E100" s="14"/>
      <c r="F100" s="14"/>
      <c r="G100" s="14"/>
      <c r="H100" s="14"/>
      <c r="I100" s="14"/>
      <c r="J100" s="14"/>
      <c r="K100" s="14"/>
    </row>
    <row r="101" spans="4:11" ht="12.75">
      <c r="D101" s="14"/>
      <c r="E101" s="14"/>
      <c r="F101" s="14"/>
      <c r="G101" s="14"/>
      <c r="H101" s="14"/>
      <c r="I101" s="14"/>
      <c r="J101" s="14"/>
      <c r="K101" s="14"/>
    </row>
    <row r="102" spans="4:11" ht="12.75">
      <c r="D102" s="14"/>
      <c r="E102" s="14"/>
      <c r="F102" s="14"/>
      <c r="G102" s="14"/>
      <c r="H102" s="14"/>
      <c r="I102" s="14"/>
      <c r="J102" s="14"/>
      <c r="K102" s="14"/>
    </row>
    <row r="103" spans="4:11" ht="12.75">
      <c r="D103" s="14"/>
      <c r="E103" s="14"/>
      <c r="F103" s="14"/>
      <c r="G103" s="14"/>
      <c r="H103" s="14"/>
      <c r="I103" s="14"/>
      <c r="J103" s="14"/>
      <c r="K103" s="14"/>
    </row>
    <row r="104" spans="4:11" ht="12.75">
      <c r="D104" s="14"/>
      <c r="E104" s="14"/>
      <c r="F104" s="14"/>
      <c r="G104" s="14"/>
      <c r="H104" s="14"/>
      <c r="I104" s="14"/>
      <c r="J104" s="14"/>
      <c r="K104" s="14"/>
    </row>
    <row r="105" spans="4:11" ht="12.75">
      <c r="D105" s="14"/>
      <c r="E105" s="14"/>
      <c r="F105" s="14"/>
      <c r="G105" s="14"/>
      <c r="H105" s="14"/>
      <c r="I105" s="14"/>
      <c r="J105" s="14"/>
      <c r="K105" s="14"/>
    </row>
    <row r="106" spans="4:11" ht="12.75">
      <c r="D106" s="14"/>
      <c r="E106" s="14"/>
      <c r="F106" s="14"/>
      <c r="G106" s="14"/>
      <c r="H106" s="14"/>
      <c r="I106" s="14"/>
      <c r="J106" s="14"/>
      <c r="K106" s="14"/>
    </row>
    <row r="107" spans="4:11" ht="12.75">
      <c r="D107" s="14"/>
      <c r="E107" s="14"/>
      <c r="F107" s="14"/>
      <c r="G107" s="14"/>
      <c r="H107" s="14"/>
      <c r="I107" s="14"/>
      <c r="J107" s="14"/>
      <c r="K107" s="14"/>
    </row>
    <row r="108" spans="4:11" ht="12.75">
      <c r="D108" s="14"/>
      <c r="E108" s="14"/>
      <c r="F108" s="14"/>
      <c r="G108" s="14"/>
      <c r="H108" s="14"/>
      <c r="I108" s="14"/>
      <c r="J108" s="14"/>
      <c r="K108" s="14"/>
    </row>
    <row r="109" spans="4:11" ht="12.75">
      <c r="D109" s="14"/>
      <c r="E109" s="14"/>
      <c r="F109" s="14"/>
      <c r="G109" s="14"/>
      <c r="H109" s="14"/>
      <c r="I109" s="14"/>
      <c r="J109" s="14"/>
      <c r="K109" s="14"/>
    </row>
    <row r="110" spans="4:11" ht="12.75">
      <c r="D110" s="14"/>
      <c r="E110" s="14"/>
      <c r="F110" s="14"/>
      <c r="G110" s="14"/>
      <c r="H110" s="14"/>
      <c r="I110" s="14"/>
      <c r="J110" s="14"/>
      <c r="K110" s="14"/>
    </row>
    <row r="111" spans="4:11" ht="12.75">
      <c r="D111" s="14"/>
      <c r="E111" s="14"/>
      <c r="F111" s="14"/>
      <c r="G111" s="14"/>
      <c r="H111" s="14"/>
      <c r="I111" s="14"/>
      <c r="J111" s="14"/>
      <c r="K111" s="14"/>
    </row>
    <row r="112" spans="4:11" ht="12.75">
      <c r="D112" s="14"/>
      <c r="E112" s="14"/>
      <c r="F112" s="14"/>
      <c r="G112" s="14"/>
      <c r="H112" s="14"/>
      <c r="I112" s="14"/>
      <c r="J112" s="14"/>
      <c r="K112" s="14"/>
    </row>
    <row r="113" spans="4:11" ht="12.75">
      <c r="D113" s="14"/>
      <c r="E113" s="14"/>
      <c r="F113" s="14"/>
      <c r="G113" s="14"/>
      <c r="H113" s="14"/>
      <c r="I113" s="14"/>
      <c r="J113" s="14"/>
      <c r="K113" s="14"/>
    </row>
    <row r="114" spans="4:11" ht="12.75">
      <c r="D114" s="14"/>
      <c r="E114" s="14"/>
      <c r="F114" s="14"/>
      <c r="G114" s="14"/>
      <c r="H114" s="14"/>
      <c r="I114" s="14"/>
      <c r="J114" s="14"/>
      <c r="K114" s="14"/>
    </row>
    <row r="115" spans="4:11" ht="12.75">
      <c r="D115" s="14"/>
      <c r="E115" s="14"/>
      <c r="F115" s="14"/>
      <c r="G115" s="14"/>
      <c r="H115" s="14"/>
      <c r="I115" s="14"/>
      <c r="J115" s="14"/>
      <c r="K115" s="14"/>
    </row>
    <row r="116" spans="4:11" ht="12.75">
      <c r="D116" s="14"/>
      <c r="E116" s="14"/>
      <c r="F116" s="14"/>
      <c r="G116" s="14"/>
      <c r="H116" s="14"/>
      <c r="I116" s="14"/>
      <c r="J116" s="14"/>
      <c r="K116" s="14"/>
    </row>
    <row r="117" spans="4:11" ht="12.75">
      <c r="D117" s="14"/>
      <c r="E117" s="14"/>
      <c r="F117" s="14"/>
      <c r="G117" s="14"/>
      <c r="H117" s="14"/>
      <c r="I117" s="14"/>
      <c r="J117" s="14"/>
      <c r="K117" s="14"/>
    </row>
    <row r="118" spans="4:11" ht="12.75">
      <c r="D118" s="14"/>
      <c r="E118" s="14"/>
      <c r="F118" s="14"/>
      <c r="G118" s="14"/>
      <c r="H118" s="14"/>
      <c r="I118" s="14"/>
      <c r="J118" s="14"/>
      <c r="K118" s="14"/>
    </row>
    <row r="119" spans="4:11" ht="12.75">
      <c r="D119" s="14"/>
      <c r="E119" s="14"/>
      <c r="F119" s="14"/>
      <c r="G119" s="14"/>
      <c r="H119" s="14"/>
      <c r="I119" s="14"/>
      <c r="J119" s="14"/>
      <c r="K119" s="14"/>
    </row>
    <row r="120" spans="4:11" ht="12.75">
      <c r="D120" s="14"/>
      <c r="E120" s="14"/>
      <c r="F120" s="14"/>
      <c r="G120" s="14"/>
      <c r="H120" s="14"/>
      <c r="I120" s="14"/>
      <c r="J120" s="14"/>
      <c r="K120" s="14"/>
    </row>
    <row r="121" spans="4:11" ht="12.75">
      <c r="D121" s="14"/>
      <c r="E121" s="14"/>
      <c r="F121" s="14"/>
      <c r="G121" s="14"/>
      <c r="H121" s="14"/>
      <c r="I121" s="14"/>
      <c r="J121" s="14"/>
      <c r="K121" s="14"/>
    </row>
    <row r="122" spans="4:11" ht="12.75">
      <c r="D122" s="14"/>
      <c r="E122" s="14"/>
      <c r="F122" s="14"/>
      <c r="G122" s="14"/>
      <c r="H122" s="14"/>
      <c r="I122" s="14"/>
      <c r="J122" s="14"/>
      <c r="K122" s="14"/>
    </row>
    <row r="123" spans="4:11" ht="12.75">
      <c r="D123" s="14"/>
      <c r="E123" s="14"/>
      <c r="F123" s="14"/>
      <c r="G123" s="14"/>
      <c r="H123" s="14"/>
      <c r="I123" s="14"/>
      <c r="J123" s="14"/>
      <c r="K123" s="14"/>
    </row>
    <row r="124" spans="4:11" ht="12.75">
      <c r="D124" s="14"/>
      <c r="E124" s="14"/>
      <c r="F124" s="14"/>
      <c r="G124" s="14"/>
      <c r="H124" s="14"/>
      <c r="I124" s="14"/>
      <c r="J124" s="14"/>
      <c r="K124" s="14"/>
    </row>
    <row r="125" spans="4:11" ht="12.75">
      <c r="D125" s="14"/>
      <c r="E125" s="14"/>
      <c r="F125" s="14"/>
      <c r="G125" s="14"/>
      <c r="H125" s="14"/>
      <c r="I125" s="14"/>
      <c r="J125" s="14"/>
      <c r="K125" s="14"/>
    </row>
    <row r="126" spans="4:11" ht="12.75">
      <c r="D126" s="14"/>
      <c r="E126" s="14"/>
      <c r="F126" s="14"/>
      <c r="G126" s="14"/>
      <c r="H126" s="14"/>
      <c r="I126" s="14"/>
      <c r="J126" s="14"/>
      <c r="K126" s="14"/>
    </row>
    <row r="127" spans="4:11" ht="12.75">
      <c r="D127" s="14"/>
      <c r="E127" s="14"/>
      <c r="F127" s="14"/>
      <c r="G127" s="14"/>
      <c r="H127" s="14"/>
      <c r="I127" s="14"/>
      <c r="J127" s="14"/>
      <c r="K127" s="14"/>
    </row>
    <row r="128" spans="4:11" ht="12.75">
      <c r="D128" s="14"/>
      <c r="E128" s="14"/>
      <c r="F128" s="14"/>
      <c r="G128" s="14"/>
      <c r="H128" s="14"/>
      <c r="I128" s="14"/>
      <c r="J128" s="14"/>
      <c r="K128" s="14"/>
    </row>
    <row r="129" spans="4:11" ht="12.75">
      <c r="D129" s="14"/>
      <c r="E129" s="14"/>
      <c r="F129" s="14"/>
      <c r="G129" s="14"/>
      <c r="H129" s="14"/>
      <c r="I129" s="14"/>
      <c r="J129" s="14"/>
      <c r="K129" s="14"/>
    </row>
    <row r="130" spans="4:11" ht="12.75">
      <c r="D130" s="14"/>
      <c r="E130" s="14"/>
      <c r="F130" s="14"/>
      <c r="G130" s="14"/>
      <c r="H130" s="14"/>
      <c r="I130" s="14"/>
      <c r="J130" s="14"/>
      <c r="K130" s="14"/>
    </row>
    <row r="131" spans="4:11" ht="12.75">
      <c r="D131" s="14"/>
      <c r="E131" s="14"/>
      <c r="F131" s="14"/>
      <c r="G131" s="14"/>
      <c r="H131" s="14"/>
      <c r="I131" s="14"/>
      <c r="J131" s="14"/>
      <c r="K131" s="14"/>
    </row>
    <row r="132" spans="4:11" ht="12.75">
      <c r="D132" s="14"/>
      <c r="E132" s="14"/>
      <c r="F132" s="14"/>
      <c r="G132" s="14"/>
      <c r="H132" s="14"/>
      <c r="I132" s="14"/>
      <c r="J132" s="14"/>
      <c r="K132" s="14"/>
    </row>
    <row r="133" spans="4:11" ht="12.75">
      <c r="D133" s="14"/>
      <c r="E133" s="14"/>
      <c r="F133" s="14"/>
      <c r="G133" s="14"/>
      <c r="H133" s="14"/>
      <c r="I133" s="14"/>
      <c r="J133" s="14"/>
      <c r="K133" s="14"/>
    </row>
    <row r="134" spans="4:11" ht="12.75">
      <c r="D134" s="14"/>
      <c r="E134" s="14"/>
      <c r="F134" s="14"/>
      <c r="G134" s="14"/>
      <c r="H134" s="14"/>
      <c r="I134" s="14"/>
      <c r="J134" s="14"/>
      <c r="K134" s="14"/>
    </row>
    <row r="135" spans="4:11" ht="12.75">
      <c r="D135" s="14"/>
      <c r="E135" s="14"/>
      <c r="F135" s="14"/>
      <c r="G135" s="14"/>
      <c r="H135" s="14"/>
      <c r="I135" s="14"/>
      <c r="J135" s="14"/>
      <c r="K135" s="14"/>
    </row>
    <row r="136" spans="4:11" ht="12.75">
      <c r="D136" s="14"/>
      <c r="E136" s="14"/>
      <c r="F136" s="14"/>
      <c r="G136" s="14"/>
      <c r="H136" s="14"/>
      <c r="I136" s="14"/>
      <c r="J136" s="14"/>
      <c r="K136" s="14"/>
    </row>
    <row r="137" spans="4:11" ht="12.75">
      <c r="D137" s="14"/>
      <c r="E137" s="14"/>
      <c r="F137" s="14"/>
      <c r="G137" s="14"/>
      <c r="H137" s="14"/>
      <c r="I137" s="14"/>
      <c r="J137" s="14"/>
      <c r="K137" s="14"/>
    </row>
    <row r="138" spans="4:11" ht="12.75">
      <c r="D138" s="14"/>
      <c r="E138" s="14"/>
      <c r="F138" s="14"/>
      <c r="G138" s="14"/>
      <c r="H138" s="14"/>
      <c r="I138" s="14"/>
      <c r="J138" s="14"/>
      <c r="K138" s="14"/>
    </row>
    <row r="139" spans="4:11" ht="12.75">
      <c r="D139" s="14"/>
      <c r="E139" s="14"/>
      <c r="F139" s="14"/>
      <c r="G139" s="14"/>
      <c r="H139" s="14"/>
      <c r="I139" s="14"/>
      <c r="J139" s="14"/>
      <c r="K139" s="14"/>
    </row>
    <row r="140" spans="4:11" ht="12.75">
      <c r="D140" s="14"/>
      <c r="E140" s="14"/>
      <c r="F140" s="14"/>
      <c r="G140" s="14"/>
      <c r="H140" s="14"/>
      <c r="I140" s="14"/>
      <c r="J140" s="14"/>
      <c r="K140" s="14"/>
    </row>
    <row r="141" spans="4:11" ht="12.75">
      <c r="D141" s="14"/>
      <c r="E141" s="14"/>
      <c r="F141" s="14"/>
      <c r="G141" s="14"/>
      <c r="H141" s="14"/>
      <c r="I141" s="14"/>
      <c r="J141" s="14"/>
      <c r="K141" s="14"/>
    </row>
    <row r="142" spans="4:11" ht="12.75">
      <c r="D142" s="14"/>
      <c r="E142" s="14"/>
      <c r="F142" s="14"/>
      <c r="G142" s="14"/>
      <c r="H142" s="14"/>
      <c r="I142" s="14"/>
      <c r="J142" s="14"/>
      <c r="K142" s="14"/>
    </row>
    <row r="143" spans="4:11" ht="12.75">
      <c r="D143" s="14"/>
      <c r="E143" s="14"/>
      <c r="F143" s="14"/>
      <c r="G143" s="14"/>
      <c r="H143" s="14"/>
      <c r="I143" s="14"/>
      <c r="J143" s="14"/>
      <c r="K143" s="14"/>
    </row>
    <row r="144" spans="4:11" ht="12.75">
      <c r="D144" s="14"/>
      <c r="E144" s="14"/>
      <c r="F144" s="14"/>
      <c r="G144" s="14"/>
      <c r="H144" s="14"/>
      <c r="I144" s="14"/>
      <c r="J144" s="14"/>
      <c r="K144" s="14"/>
    </row>
    <row r="145" spans="4:11" ht="12.75">
      <c r="D145" s="14"/>
      <c r="E145" s="14"/>
      <c r="F145" s="14"/>
      <c r="G145" s="14"/>
      <c r="H145" s="14"/>
      <c r="I145" s="14"/>
      <c r="J145" s="14"/>
      <c r="K145" s="14"/>
    </row>
    <row r="146" spans="4:11" ht="12.75">
      <c r="D146" s="14"/>
      <c r="E146" s="14"/>
      <c r="F146" s="14"/>
      <c r="G146" s="14"/>
      <c r="H146" s="14"/>
      <c r="I146" s="14"/>
      <c r="J146" s="14"/>
      <c r="K146" s="14"/>
    </row>
    <row r="147" spans="4:11" ht="12.75">
      <c r="D147" s="14"/>
      <c r="E147" s="14"/>
      <c r="F147" s="14"/>
      <c r="G147" s="14"/>
      <c r="H147" s="14"/>
      <c r="I147" s="14"/>
      <c r="J147" s="14"/>
      <c r="K147" s="14"/>
    </row>
    <row r="148" spans="4:11" ht="12.75">
      <c r="D148" s="14"/>
      <c r="E148" s="14"/>
      <c r="F148" s="14"/>
      <c r="G148" s="14"/>
      <c r="H148" s="14"/>
      <c r="I148" s="14"/>
      <c r="J148" s="14"/>
      <c r="K148" s="14"/>
    </row>
    <row r="149" spans="4:11" ht="12.75">
      <c r="D149" s="14"/>
      <c r="E149" s="14"/>
      <c r="F149" s="14"/>
      <c r="G149" s="14"/>
      <c r="H149" s="14"/>
      <c r="I149" s="14"/>
      <c r="J149" s="14"/>
      <c r="K149" s="14"/>
    </row>
    <row r="150" spans="4:11" ht="12.75">
      <c r="D150" s="14"/>
      <c r="E150" s="14"/>
      <c r="F150" s="14"/>
      <c r="G150" s="14"/>
      <c r="H150" s="14"/>
      <c r="I150" s="14"/>
      <c r="J150" s="14"/>
      <c r="K150" s="14"/>
    </row>
    <row r="151" spans="4:11" ht="12.75">
      <c r="D151" s="14"/>
      <c r="E151" s="14"/>
      <c r="F151" s="14"/>
      <c r="G151" s="14"/>
      <c r="H151" s="14"/>
      <c r="I151" s="14"/>
      <c r="J151" s="14"/>
      <c r="K151" s="14"/>
    </row>
    <row r="152" spans="4:11" ht="12.75">
      <c r="D152" s="14"/>
      <c r="E152" s="14"/>
      <c r="F152" s="14"/>
      <c r="G152" s="14"/>
      <c r="H152" s="14"/>
      <c r="I152" s="14"/>
      <c r="J152" s="14"/>
      <c r="K152" s="14"/>
    </row>
    <row r="153" spans="4:11" ht="12.75">
      <c r="D153" s="14"/>
      <c r="E153" s="14"/>
      <c r="F153" s="14"/>
      <c r="G153" s="14"/>
      <c r="H153" s="14"/>
      <c r="I153" s="14"/>
      <c r="J153" s="14"/>
      <c r="K153" s="14"/>
    </row>
    <row r="154" spans="4:11" ht="12.75">
      <c r="D154" s="14"/>
      <c r="E154" s="14"/>
      <c r="F154" s="14"/>
      <c r="G154" s="14"/>
      <c r="H154" s="14"/>
      <c r="I154" s="14"/>
      <c r="J154" s="14"/>
      <c r="K154" s="14"/>
    </row>
    <row r="155" spans="4:11" ht="12.75">
      <c r="D155" s="14"/>
      <c r="E155" s="14"/>
      <c r="F155" s="14"/>
      <c r="G155" s="14"/>
      <c r="H155" s="14"/>
      <c r="I155" s="14"/>
      <c r="J155" s="14"/>
      <c r="K155" s="14"/>
    </row>
    <row r="156" spans="4:11" ht="12.75">
      <c r="D156" s="14"/>
      <c r="E156" s="14"/>
      <c r="F156" s="14"/>
      <c r="G156" s="14"/>
      <c r="H156" s="14"/>
      <c r="I156" s="14"/>
      <c r="J156" s="14"/>
      <c r="K156" s="14"/>
    </row>
    <row r="157" spans="4:11" ht="12.75">
      <c r="D157" s="14"/>
      <c r="E157" s="14"/>
      <c r="F157" s="14"/>
      <c r="G157" s="14"/>
      <c r="H157" s="14"/>
      <c r="I157" s="14"/>
      <c r="J157" s="14"/>
      <c r="K157" s="14"/>
    </row>
    <row r="158" spans="4:11" ht="12.75">
      <c r="D158" s="14"/>
      <c r="E158" s="14"/>
      <c r="F158" s="14"/>
      <c r="G158" s="14"/>
      <c r="H158" s="14"/>
      <c r="I158" s="14"/>
      <c r="J158" s="14"/>
      <c r="K158" s="14"/>
    </row>
    <row r="159" spans="4:11" ht="12.75">
      <c r="D159" s="14"/>
      <c r="E159" s="14"/>
      <c r="F159" s="14"/>
      <c r="G159" s="14"/>
      <c r="H159" s="14"/>
      <c r="I159" s="14"/>
      <c r="J159" s="14"/>
      <c r="K159" s="14"/>
    </row>
    <row r="160" spans="4:11" ht="12.75">
      <c r="D160" s="14"/>
      <c r="E160" s="14"/>
      <c r="F160" s="14"/>
      <c r="G160" s="14"/>
      <c r="H160" s="14"/>
      <c r="I160" s="14"/>
      <c r="J160" s="14"/>
      <c r="K160" s="14"/>
    </row>
    <row r="161" spans="4:11" ht="12.75">
      <c r="D161" s="14"/>
      <c r="E161" s="14"/>
      <c r="F161" s="14"/>
      <c r="G161" s="14"/>
      <c r="H161" s="14"/>
      <c r="I161" s="14"/>
      <c r="J161" s="14"/>
      <c r="K161" s="14"/>
    </row>
    <row r="162" spans="4:11" ht="12.75">
      <c r="D162" s="14"/>
      <c r="E162" s="14"/>
      <c r="F162" s="14"/>
      <c r="G162" s="14"/>
      <c r="H162" s="14"/>
      <c r="I162" s="14"/>
      <c r="J162" s="14"/>
      <c r="K162" s="14"/>
    </row>
    <row r="163" spans="4:11" ht="12.75">
      <c r="D163" s="14"/>
      <c r="E163" s="14"/>
      <c r="F163" s="14"/>
      <c r="G163" s="14"/>
      <c r="H163" s="14"/>
      <c r="I163" s="14"/>
      <c r="J163" s="14"/>
      <c r="K163" s="14"/>
    </row>
  </sheetData>
  <sheetProtection password="DDD9" sheet="1" objects="1" scenarios="1"/>
  <mergeCells count="6">
    <mergeCell ref="E8:F8"/>
    <mergeCell ref="A5:K5"/>
    <mergeCell ref="A1:K1"/>
    <mergeCell ref="A2:K2"/>
    <mergeCell ref="A3:K3"/>
    <mergeCell ref="D7:H7"/>
  </mergeCells>
  <printOptions/>
  <pageMargins left="0.5" right="0" top="0.5" bottom="0.5" header="0.5" footer="0.5"/>
  <pageSetup horizontalDpi="300" verticalDpi="3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21.140625" style="37" customWidth="1"/>
    <col min="2" max="2" width="2.7109375" style="37" customWidth="1"/>
    <col min="3" max="3" width="11.8515625" style="37" customWidth="1"/>
    <col min="4" max="4" width="11.57421875" style="37" customWidth="1"/>
    <col min="5" max="5" width="2.57421875" style="37" customWidth="1"/>
    <col min="6" max="6" width="22.140625" style="37" customWidth="1"/>
    <col min="7" max="7" width="2.7109375" style="37" customWidth="1"/>
    <col min="8" max="8" width="11.8515625" style="37" customWidth="1"/>
    <col min="9" max="9" width="12.140625" style="37" customWidth="1"/>
    <col min="10" max="16384" width="9.140625" style="37" customWidth="1"/>
  </cols>
  <sheetData>
    <row r="1" spans="1:9" ht="18">
      <c r="A1" s="153" t="s">
        <v>717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4" t="s">
        <v>129</v>
      </c>
      <c r="B2" s="154"/>
      <c r="C2" s="154"/>
      <c r="D2" s="154"/>
      <c r="E2" s="154"/>
      <c r="F2" s="154"/>
      <c r="G2" s="154"/>
      <c r="H2" s="154"/>
      <c r="I2" s="154"/>
    </row>
    <row r="3" ht="12.75">
      <c r="A3" s="15"/>
    </row>
    <row r="4" spans="1:9" ht="15.75">
      <c r="A4" s="155" t="s">
        <v>736</v>
      </c>
      <c r="B4" s="155"/>
      <c r="C4" s="155"/>
      <c r="D4" s="155"/>
      <c r="E4" s="155"/>
      <c r="F4" s="155"/>
      <c r="G4" s="155"/>
      <c r="H4" s="155"/>
      <c r="I4" s="155"/>
    </row>
    <row r="5" ht="12.75"/>
    <row r="6" ht="13.5" thickBot="1">
      <c r="A6" s="87"/>
    </row>
    <row r="7" spans="1:9" ht="12.75">
      <c r="A7" s="63" t="s">
        <v>108</v>
      </c>
      <c r="B7" s="60"/>
      <c r="C7" s="60" t="s">
        <v>3</v>
      </c>
      <c r="D7" s="60" t="s">
        <v>3</v>
      </c>
      <c r="E7" s="60"/>
      <c r="F7" s="60" t="s">
        <v>127</v>
      </c>
      <c r="G7" s="60"/>
      <c r="H7" s="60" t="s">
        <v>3</v>
      </c>
      <c r="I7" s="63" t="s">
        <v>3</v>
      </c>
    </row>
    <row r="8" spans="1:9" ht="13.5" thickBot="1">
      <c r="A8" s="65"/>
      <c r="B8" s="62"/>
      <c r="C8" s="62" t="s">
        <v>204</v>
      </c>
      <c r="D8" s="62" t="s">
        <v>203</v>
      </c>
      <c r="E8" s="62"/>
      <c r="F8" s="62"/>
      <c r="G8" s="62"/>
      <c r="H8" s="62" t="s">
        <v>204</v>
      </c>
      <c r="I8" s="65" t="s">
        <v>203</v>
      </c>
    </row>
    <row r="9" spans="1:9" ht="12.75">
      <c r="A9" s="39"/>
      <c r="B9" s="30"/>
      <c r="C9" s="30"/>
      <c r="D9" s="30"/>
      <c r="E9" s="30"/>
      <c r="F9" s="30"/>
      <c r="G9" s="30"/>
      <c r="H9" s="30"/>
      <c r="I9" s="39"/>
    </row>
    <row r="10" spans="1:9" ht="15">
      <c r="A10" s="88" t="s">
        <v>109</v>
      </c>
      <c r="B10" s="94" t="s">
        <v>130</v>
      </c>
      <c r="C10" s="137">
        <f>Annexure!C12</f>
        <v>90573003.00176027</v>
      </c>
      <c r="D10" s="104">
        <f>Annexure!D12</f>
        <v>77506359.72999999</v>
      </c>
      <c r="E10" s="138"/>
      <c r="F10" s="19" t="s">
        <v>117</v>
      </c>
      <c r="G10" s="96" t="s">
        <v>205</v>
      </c>
      <c r="H10" s="139">
        <f>'FINAL FIXED ASSETS'!K85</f>
        <v>111345402.99776028</v>
      </c>
      <c r="I10" s="140">
        <f>'FINAL FIXED ASSETS'!D85</f>
        <v>85962904.61000004</v>
      </c>
    </row>
    <row r="11" spans="1:9" ht="15">
      <c r="A11" s="88"/>
      <c r="B11" s="94"/>
      <c r="C11" s="137"/>
      <c r="D11" s="104"/>
      <c r="E11" s="138"/>
      <c r="F11" s="19"/>
      <c r="G11" s="96"/>
      <c r="H11" s="139"/>
      <c r="I11" s="140"/>
    </row>
    <row r="12" spans="1:9" ht="15">
      <c r="A12" s="88" t="s">
        <v>110</v>
      </c>
      <c r="B12" s="94" t="s">
        <v>131</v>
      </c>
      <c r="C12" s="137">
        <f>Annexure!C22</f>
        <v>6584325</v>
      </c>
      <c r="D12" s="104">
        <f>Annexure!D22</f>
        <v>1441690.49</v>
      </c>
      <c r="E12" s="138"/>
      <c r="F12" s="19" t="s">
        <v>124</v>
      </c>
      <c r="G12" s="96"/>
      <c r="H12" s="139">
        <f>'RUF WORK FOR BS'!G227</f>
        <v>9600</v>
      </c>
      <c r="I12" s="140">
        <v>10500</v>
      </c>
    </row>
    <row r="13" spans="1:9" ht="15">
      <c r="A13" s="88"/>
      <c r="B13" s="94"/>
      <c r="C13" s="137"/>
      <c r="D13" s="104"/>
      <c r="E13" s="138"/>
      <c r="F13" s="2" t="s">
        <v>739</v>
      </c>
      <c r="G13" s="96"/>
      <c r="H13" s="139"/>
      <c r="I13" s="140"/>
    </row>
    <row r="14" spans="1:9" ht="15">
      <c r="A14" s="88" t="s">
        <v>111</v>
      </c>
      <c r="B14" s="94" t="s">
        <v>132</v>
      </c>
      <c r="C14" s="137">
        <f>Annexure!C39</f>
        <v>100945</v>
      </c>
      <c r="D14" s="137">
        <f>Annexure!D39</f>
        <v>100945</v>
      </c>
      <c r="E14" s="138"/>
      <c r="F14" s="2" t="s">
        <v>725</v>
      </c>
      <c r="G14" s="96"/>
      <c r="H14" s="139"/>
      <c r="I14" s="140"/>
    </row>
    <row r="15" spans="1:9" ht="15">
      <c r="A15" s="105"/>
      <c r="B15" s="94"/>
      <c r="C15" s="137"/>
      <c r="D15" s="104"/>
      <c r="E15" s="138"/>
      <c r="F15" s="19"/>
      <c r="G15" s="96"/>
      <c r="H15" s="139"/>
      <c r="I15" s="140"/>
    </row>
    <row r="16" spans="1:9" ht="15">
      <c r="A16" s="88" t="s">
        <v>112</v>
      </c>
      <c r="B16" s="94" t="s">
        <v>133</v>
      </c>
      <c r="C16" s="137">
        <f>Annexure!C51</f>
        <v>20069662</v>
      </c>
      <c r="D16" s="137">
        <f>Annexure!D51</f>
        <v>17922336.4</v>
      </c>
      <c r="E16" s="138"/>
      <c r="F16" s="19" t="s">
        <v>819</v>
      </c>
      <c r="G16" s="96"/>
      <c r="H16" s="139">
        <f>'RUF WORK FOR BS'!E233</f>
        <v>5644274</v>
      </c>
      <c r="I16" s="140">
        <v>5625960.969999924</v>
      </c>
    </row>
    <row r="17" spans="1:9" ht="15">
      <c r="A17" s="88"/>
      <c r="B17" s="94"/>
      <c r="C17" s="137"/>
      <c r="D17" s="104"/>
      <c r="E17" s="138"/>
      <c r="F17" s="19" t="s">
        <v>820</v>
      </c>
      <c r="G17" s="96"/>
      <c r="H17" s="139"/>
      <c r="I17" s="140"/>
    </row>
    <row r="18" spans="1:9" ht="15">
      <c r="A18" s="88" t="s">
        <v>114</v>
      </c>
      <c r="B18" s="94" t="s">
        <v>149</v>
      </c>
      <c r="C18" s="137">
        <f>Annexure!C65</f>
        <v>14090250</v>
      </c>
      <c r="D18" s="137">
        <f>Annexure!D65</f>
        <v>11722700</v>
      </c>
      <c r="E18" s="138"/>
      <c r="F18" s="19"/>
      <c r="G18" s="96"/>
      <c r="H18" s="139"/>
      <c r="I18" s="140"/>
    </row>
    <row r="19" spans="1:9" ht="15">
      <c r="A19" s="88"/>
      <c r="B19" s="94"/>
      <c r="C19" s="137"/>
      <c r="D19" s="104"/>
      <c r="E19" s="138"/>
      <c r="F19" s="19" t="s">
        <v>766</v>
      </c>
      <c r="G19" s="96"/>
      <c r="H19" s="139">
        <f>'RUF WORK FOR BS'!E239</f>
        <v>4002980</v>
      </c>
      <c r="I19" s="140">
        <f>51204.6+142106+3239422.3</f>
        <v>3432732.9</v>
      </c>
    </row>
    <row r="20" spans="1:9" ht="15">
      <c r="A20" s="88" t="s">
        <v>115</v>
      </c>
      <c r="B20" s="94" t="s">
        <v>150</v>
      </c>
      <c r="C20" s="137">
        <f>Annexure!C88</f>
        <v>1975507</v>
      </c>
      <c r="D20" s="137">
        <f>Annexure!D88</f>
        <v>988184.52</v>
      </c>
      <c r="E20" s="138"/>
      <c r="F20" s="19" t="s">
        <v>767</v>
      </c>
      <c r="G20" s="96"/>
      <c r="H20" s="139"/>
      <c r="I20" s="140"/>
    </row>
    <row r="21" spans="1:9" ht="15">
      <c r="A21" s="88"/>
      <c r="B21" s="94"/>
      <c r="C21" s="137"/>
      <c r="D21" s="137"/>
      <c r="E21" s="138"/>
      <c r="F21" s="19"/>
      <c r="G21" s="96"/>
      <c r="H21" s="139"/>
      <c r="I21" s="140"/>
    </row>
    <row r="22" spans="1:9" ht="15">
      <c r="A22" s="88" t="s">
        <v>116</v>
      </c>
      <c r="B22" s="94" t="s">
        <v>151</v>
      </c>
      <c r="C22" s="137">
        <f>Annexure!C139</f>
        <v>1489042</v>
      </c>
      <c r="D22" s="137">
        <f>Annexure!D139</f>
        <v>2009073</v>
      </c>
      <c r="E22" s="138"/>
      <c r="F22" s="19" t="s">
        <v>94</v>
      </c>
      <c r="G22" s="96" t="s">
        <v>158</v>
      </c>
      <c r="H22" s="139">
        <f>Annexure!C191</f>
        <v>474565</v>
      </c>
      <c r="I22" s="141">
        <f>Annexure!D191</f>
        <v>480565</v>
      </c>
    </row>
    <row r="23" spans="1:9" ht="15">
      <c r="A23" s="88"/>
      <c r="B23" s="94"/>
      <c r="C23" s="137"/>
      <c r="D23" s="104"/>
      <c r="E23" s="138"/>
      <c r="F23" s="91"/>
      <c r="G23" s="96"/>
      <c r="H23" s="139"/>
      <c r="I23" s="140"/>
    </row>
    <row r="24" spans="1:9" ht="15">
      <c r="A24" s="88" t="s">
        <v>845</v>
      </c>
      <c r="B24" s="94" t="s">
        <v>153</v>
      </c>
      <c r="C24" s="137">
        <f>Annexure!C175</f>
        <v>3853135</v>
      </c>
      <c r="D24" s="137">
        <f>Annexure!D175</f>
        <v>3337727.3</v>
      </c>
      <c r="E24" s="138"/>
      <c r="F24" s="19" t="s">
        <v>120</v>
      </c>
      <c r="G24" s="96" t="s">
        <v>134</v>
      </c>
      <c r="H24" s="139">
        <f>Annexure!C282</f>
        <v>1667611</v>
      </c>
      <c r="I24" s="141">
        <f>Annexure!D282</f>
        <v>4385926</v>
      </c>
    </row>
    <row r="25" spans="1:9" ht="15">
      <c r="A25" s="88"/>
      <c r="B25" s="94"/>
      <c r="C25" s="137"/>
      <c r="D25" s="104"/>
      <c r="E25" s="138"/>
      <c r="F25" s="19"/>
      <c r="G25" s="96"/>
      <c r="H25" s="139"/>
      <c r="I25" s="140"/>
    </row>
    <row r="26" spans="1:9" ht="15">
      <c r="A26" s="88" t="s">
        <v>126</v>
      </c>
      <c r="B26" s="94" t="s">
        <v>733</v>
      </c>
      <c r="C26" s="137"/>
      <c r="D26" s="104"/>
      <c r="E26" s="138"/>
      <c r="F26" s="19" t="s">
        <v>723</v>
      </c>
      <c r="G26" s="96"/>
      <c r="H26" s="139">
        <f>'RUF WORK FOR BS'!G310</f>
        <v>2024181</v>
      </c>
      <c r="I26" s="140">
        <v>1997602.73</v>
      </c>
    </row>
    <row r="27" spans="1:9" ht="15">
      <c r="A27" s="88"/>
      <c r="B27" s="94"/>
      <c r="C27" s="137"/>
      <c r="D27" s="104"/>
      <c r="E27" s="138"/>
      <c r="F27" s="19"/>
      <c r="G27" s="96"/>
      <c r="H27" s="139"/>
      <c r="I27" s="140"/>
    </row>
    <row r="28" spans="1:9" ht="15">
      <c r="A28" s="88"/>
      <c r="B28" s="94"/>
      <c r="C28" s="137"/>
      <c r="D28" s="104"/>
      <c r="E28" s="138"/>
      <c r="F28" s="19" t="s">
        <v>123</v>
      </c>
      <c r="G28" s="96" t="s">
        <v>722</v>
      </c>
      <c r="H28" s="139">
        <f>Annexure!C296</f>
        <v>961043</v>
      </c>
      <c r="I28" s="141">
        <f>Annexure!D296</f>
        <v>679041</v>
      </c>
    </row>
    <row r="29" spans="1:9" ht="15">
      <c r="A29" s="88"/>
      <c r="B29" s="94"/>
      <c r="C29" s="137"/>
      <c r="D29" s="104"/>
      <c r="E29" s="138"/>
      <c r="F29" s="19"/>
      <c r="G29" s="96"/>
      <c r="H29" s="139"/>
      <c r="I29" s="140"/>
    </row>
    <row r="30" spans="1:9" ht="15">
      <c r="A30" s="88"/>
      <c r="B30" s="94"/>
      <c r="C30" s="137"/>
      <c r="D30" s="104"/>
      <c r="E30" s="138"/>
      <c r="F30" s="19" t="s">
        <v>768</v>
      </c>
      <c r="G30" s="96"/>
      <c r="H30" s="139">
        <f>'RUF WORK FOR BS'!E337</f>
        <v>219326</v>
      </c>
      <c r="I30" s="140">
        <f>133821+158+535</f>
        <v>134514</v>
      </c>
    </row>
    <row r="31" spans="1:10" ht="15">
      <c r="A31" s="88"/>
      <c r="B31" s="94"/>
      <c r="C31" s="137"/>
      <c r="D31" s="104"/>
      <c r="E31" s="138"/>
      <c r="F31" s="19"/>
      <c r="G31" s="96"/>
      <c r="H31" s="139"/>
      <c r="I31" s="140"/>
      <c r="J31" s="87"/>
    </row>
    <row r="32" spans="1:9" ht="15">
      <c r="A32" s="88"/>
      <c r="B32" s="94"/>
      <c r="C32" s="137"/>
      <c r="D32" s="104"/>
      <c r="E32" s="138"/>
      <c r="F32" s="19" t="s">
        <v>122</v>
      </c>
      <c r="G32" s="96" t="s">
        <v>726</v>
      </c>
      <c r="H32" s="139">
        <f>Annexure!C335</f>
        <v>12386886</v>
      </c>
      <c r="I32" s="141">
        <f>Annexure!D335</f>
        <v>12319268.629999999</v>
      </c>
    </row>
    <row r="33" spans="1:9" ht="15">
      <c r="A33" s="88"/>
      <c r="B33" s="94"/>
      <c r="C33" s="137"/>
      <c r="D33" s="104"/>
      <c r="E33" s="138"/>
      <c r="F33" s="19"/>
      <c r="G33" s="96"/>
      <c r="H33" s="139"/>
      <c r="I33" s="141"/>
    </row>
    <row r="34" spans="1:9" ht="15.75" thickBot="1">
      <c r="A34" s="89"/>
      <c r="B34" s="94"/>
      <c r="C34" s="92"/>
      <c r="D34" s="93"/>
      <c r="E34" s="95"/>
      <c r="F34" s="90"/>
      <c r="G34" s="96"/>
      <c r="H34" s="97"/>
      <c r="I34" s="98"/>
    </row>
    <row r="35" spans="1:9" ht="15.75" thickBot="1">
      <c r="A35" s="99" t="s">
        <v>128</v>
      </c>
      <c r="B35" s="100"/>
      <c r="C35" s="101">
        <f>SUM(C10:C34)</f>
        <v>138735869.00176027</v>
      </c>
      <c r="D35" s="101">
        <f>SUM(D10:D34)</f>
        <v>115029016.43999997</v>
      </c>
      <c r="E35" s="100"/>
      <c r="F35" s="99" t="s">
        <v>128</v>
      </c>
      <c r="G35" s="100"/>
      <c r="H35" s="101">
        <f>SUM(H10:H34)</f>
        <v>138735868.9977603</v>
      </c>
      <c r="I35" s="102">
        <f>SUM(I10:I34)+0.6</f>
        <v>115029016.43999997</v>
      </c>
    </row>
    <row r="36" spans="3:9" ht="12.75">
      <c r="C36" s="44"/>
      <c r="D36" s="38"/>
      <c r="H36" s="44"/>
      <c r="I36" s="38"/>
    </row>
    <row r="37" spans="3:4" ht="12.75">
      <c r="C37" s="87">
        <f>C35-H35</f>
        <v>0.003999978303909302</v>
      </c>
      <c r="D37" s="87">
        <f>D35-I35</f>
        <v>0</v>
      </c>
    </row>
    <row r="38" spans="1:8" ht="12.75">
      <c r="A38" s="68" t="s">
        <v>658</v>
      </c>
      <c r="B38" s="68"/>
      <c r="C38" s="68"/>
      <c r="D38" s="68"/>
      <c r="E38" s="68"/>
      <c r="F38" s="68"/>
      <c r="G38" s="68"/>
      <c r="H38" s="68"/>
    </row>
    <row r="39" spans="1:8" ht="12.75">
      <c r="A39" s="68" t="s">
        <v>659</v>
      </c>
      <c r="B39" s="68"/>
      <c r="C39" s="68"/>
      <c r="D39" s="68"/>
      <c r="F39" s="68" t="s">
        <v>724</v>
      </c>
      <c r="G39" s="68"/>
      <c r="H39" s="68"/>
    </row>
    <row r="40" spans="1:8" ht="12.75">
      <c r="A40" s="68" t="s">
        <v>735</v>
      </c>
      <c r="B40" s="68"/>
      <c r="C40" s="68"/>
      <c r="D40" s="68"/>
      <c r="E40" s="68"/>
      <c r="F40" s="68"/>
      <c r="G40" s="68"/>
      <c r="H40" s="68"/>
    </row>
    <row r="41" spans="1:8" ht="12.75">
      <c r="A41" s="68"/>
      <c r="B41" s="68"/>
      <c r="C41" s="68"/>
      <c r="D41" s="68"/>
      <c r="E41" s="68"/>
      <c r="G41" s="68"/>
      <c r="H41" s="68"/>
    </row>
    <row r="42" spans="1:8" ht="12.75">
      <c r="A42" s="68"/>
      <c r="B42" s="68"/>
      <c r="C42" s="68"/>
      <c r="D42" s="68"/>
      <c r="E42" s="68"/>
      <c r="G42" s="68"/>
      <c r="H42" s="68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9" ht="12.75">
      <c r="A44" s="69" t="s">
        <v>661</v>
      </c>
      <c r="B44" s="68"/>
      <c r="C44" s="68"/>
      <c r="D44" s="68"/>
      <c r="E44" s="68"/>
      <c r="F44" s="69" t="s">
        <v>667</v>
      </c>
      <c r="G44" s="68"/>
      <c r="I44" s="70" t="s">
        <v>665</v>
      </c>
    </row>
    <row r="45" spans="1:9" ht="12.75">
      <c r="A45" s="69" t="s">
        <v>662</v>
      </c>
      <c r="B45" s="68"/>
      <c r="C45" s="68"/>
      <c r="D45" s="68"/>
      <c r="E45" s="68"/>
      <c r="F45" s="69" t="s">
        <v>737</v>
      </c>
      <c r="G45" s="70"/>
      <c r="H45" s="69" t="s">
        <v>741</v>
      </c>
      <c r="I45" s="69"/>
    </row>
    <row r="46" spans="1:8" ht="12.75">
      <c r="A46" s="68"/>
      <c r="B46" s="68"/>
      <c r="C46" s="68"/>
      <c r="D46" s="68"/>
      <c r="E46" s="68"/>
      <c r="F46" s="68"/>
      <c r="G46" s="68"/>
      <c r="H46" s="68"/>
    </row>
    <row r="47" spans="1:8" ht="12.75">
      <c r="A47" s="68" t="s">
        <v>663</v>
      </c>
      <c r="B47" s="68"/>
      <c r="C47" s="68"/>
      <c r="D47" s="68"/>
      <c r="E47" s="68"/>
      <c r="F47" s="68"/>
      <c r="G47" s="68"/>
      <c r="H47" s="68"/>
    </row>
    <row r="48" spans="1:8" ht="12.75">
      <c r="A48" s="68" t="s">
        <v>664</v>
      </c>
      <c r="B48" s="68"/>
      <c r="C48" s="68"/>
      <c r="D48" s="68"/>
      <c r="E48" s="68"/>
      <c r="F48" s="68"/>
      <c r="G48" s="68"/>
      <c r="H48" s="68"/>
    </row>
  </sheetData>
  <sheetProtection password="DDD9" sheet="1" objects="1" scenarios="1"/>
  <mergeCells count="3">
    <mergeCell ref="A1:I1"/>
    <mergeCell ref="A2:I2"/>
    <mergeCell ref="A4:I4"/>
  </mergeCells>
  <printOptions/>
  <pageMargins left="1" right="0.27" top="0.5" bottom="0.5" header="0.5" footer="0.5"/>
  <pageSetup horizontalDpi="300" verticalDpi="300" orientation="portrait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0" sqref="H10"/>
    </sheetView>
  </sheetViews>
  <sheetFormatPr defaultColWidth="9.140625" defaultRowHeight="12.75"/>
  <cols>
    <col min="1" max="1" width="27.7109375" style="37" customWidth="1"/>
    <col min="2" max="2" width="2.7109375" style="37" customWidth="1"/>
    <col min="3" max="3" width="11.8515625" style="37" customWidth="1"/>
    <col min="4" max="4" width="11.28125" style="37" customWidth="1"/>
    <col min="5" max="5" width="1.8515625" style="37" customWidth="1"/>
    <col min="6" max="6" width="23.8515625" style="37" customWidth="1"/>
    <col min="7" max="7" width="2.7109375" style="37" customWidth="1"/>
    <col min="8" max="8" width="11.57421875" style="37" customWidth="1"/>
    <col min="9" max="9" width="10.140625" style="37" customWidth="1"/>
    <col min="10" max="16384" width="9.140625" style="37" customWidth="1"/>
  </cols>
  <sheetData>
    <row r="1" spans="1:9" ht="18">
      <c r="A1" s="153" t="s">
        <v>717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4" t="s">
        <v>129</v>
      </c>
      <c r="B2" s="154"/>
      <c r="C2" s="154"/>
      <c r="D2" s="154"/>
      <c r="E2" s="154"/>
      <c r="F2" s="154"/>
      <c r="G2" s="154"/>
      <c r="H2" s="154"/>
      <c r="I2" s="154"/>
    </row>
    <row r="3" ht="12.75">
      <c r="A3" s="15"/>
    </row>
    <row r="4" spans="1:9" ht="15.75">
      <c r="A4" s="155" t="s">
        <v>849</v>
      </c>
      <c r="B4" s="155"/>
      <c r="C4" s="155"/>
      <c r="D4" s="155"/>
      <c r="E4" s="155"/>
      <c r="F4" s="155"/>
      <c r="G4" s="155"/>
      <c r="H4" s="155"/>
      <c r="I4" s="155"/>
    </row>
    <row r="5" ht="12.75"/>
    <row r="6" ht="13.5" thickBot="1"/>
    <row r="7" spans="1:9" ht="12.75">
      <c r="A7" s="63" t="s">
        <v>137</v>
      </c>
      <c r="B7" s="60"/>
      <c r="C7" s="60" t="s">
        <v>3</v>
      </c>
      <c r="D7" s="60" t="s">
        <v>3</v>
      </c>
      <c r="E7" s="60"/>
      <c r="F7" s="60" t="s">
        <v>138</v>
      </c>
      <c r="G7" s="60"/>
      <c r="H7" s="60" t="s">
        <v>3</v>
      </c>
      <c r="I7" s="63" t="s">
        <v>3</v>
      </c>
    </row>
    <row r="8" spans="1:9" ht="13.5" thickBot="1">
      <c r="A8" s="65"/>
      <c r="B8" s="62"/>
      <c r="C8" s="62" t="s">
        <v>204</v>
      </c>
      <c r="D8" s="62" t="s">
        <v>203</v>
      </c>
      <c r="E8" s="62"/>
      <c r="F8" s="62"/>
      <c r="G8" s="62"/>
      <c r="H8" s="62" t="s">
        <v>204</v>
      </c>
      <c r="I8" s="65" t="s">
        <v>203</v>
      </c>
    </row>
    <row r="9" spans="1:9" ht="12.75">
      <c r="A9" s="39"/>
      <c r="B9" s="30"/>
      <c r="C9" s="30"/>
      <c r="D9" s="30"/>
      <c r="E9" s="30"/>
      <c r="F9" s="30"/>
      <c r="G9" s="67"/>
      <c r="H9" s="5"/>
      <c r="I9" s="39"/>
    </row>
    <row r="10" spans="1:9" ht="15">
      <c r="A10" s="88" t="s">
        <v>145</v>
      </c>
      <c r="B10" s="96" t="s">
        <v>727</v>
      </c>
      <c r="C10" s="137">
        <f>Annexure!C348</f>
        <v>45692090</v>
      </c>
      <c r="D10" s="104">
        <f>Annexure!D348</f>
        <v>37999094.2</v>
      </c>
      <c r="E10" s="138"/>
      <c r="F10" s="19" t="s">
        <v>155</v>
      </c>
      <c r="G10" s="96" t="s">
        <v>730</v>
      </c>
      <c r="H10" s="142">
        <f>Annexure!C410</f>
        <v>98965665</v>
      </c>
      <c r="I10" s="140">
        <f>Annexure!D410</f>
        <v>82894183.72</v>
      </c>
    </row>
    <row r="11" spans="1:9" ht="15">
      <c r="A11" s="88"/>
      <c r="B11" s="88"/>
      <c r="C11" s="104"/>
      <c r="D11" s="104"/>
      <c r="E11" s="138"/>
      <c r="F11" s="19"/>
      <c r="G11" s="96"/>
      <c r="H11" s="142"/>
      <c r="I11" s="140"/>
    </row>
    <row r="12" spans="1:9" ht="15">
      <c r="A12" s="88" t="s">
        <v>141</v>
      </c>
      <c r="B12" s="96" t="s">
        <v>728</v>
      </c>
      <c r="C12" s="137">
        <f>(Annexure!C378)</f>
        <v>24954631</v>
      </c>
      <c r="D12" s="104">
        <f>(Annexure!D378)</f>
        <v>19193604.669999998</v>
      </c>
      <c r="E12" s="138"/>
      <c r="F12" s="19" t="s">
        <v>822</v>
      </c>
      <c r="G12" s="96"/>
      <c r="H12" s="142">
        <f>'RUF WORK FOR P &amp; L'!G323</f>
        <v>1370906</v>
      </c>
      <c r="I12" s="140">
        <v>1145354.41</v>
      </c>
    </row>
    <row r="13" spans="1:9" ht="15">
      <c r="A13" s="88"/>
      <c r="B13" s="96"/>
      <c r="C13" s="137"/>
      <c r="D13" s="104"/>
      <c r="E13" s="138"/>
      <c r="F13" s="19"/>
      <c r="G13" s="96"/>
      <c r="H13" s="142"/>
      <c r="I13" s="140"/>
    </row>
    <row r="14" spans="1:9" ht="15">
      <c r="A14" s="88" t="s">
        <v>846</v>
      </c>
      <c r="B14" s="96" t="s">
        <v>729</v>
      </c>
      <c r="C14" s="137">
        <f>Annexure!C398</f>
        <v>3463416</v>
      </c>
      <c r="D14" s="104">
        <f>Annexure!D398</f>
        <v>3073797.7899999996</v>
      </c>
      <c r="E14" s="138"/>
      <c r="F14" s="19" t="s">
        <v>847</v>
      </c>
      <c r="G14" s="96" t="s">
        <v>731</v>
      </c>
      <c r="H14" s="142">
        <f>('RUF WORK FOR TRADING'!G34-'RUF WORK FOR TRADING'!G37)-('RUF WORK FOR TRADING'!G12)-('RUF WORK FOR TRADING'!G30)+('RUF WORK FOR TRADING'!G17)</f>
        <v>1427126</v>
      </c>
      <c r="I14" s="140">
        <f>(4751270.38+1971194+53433)-(2692796.4+2757080.87)</f>
        <v>1326020.1100000003</v>
      </c>
    </row>
    <row r="15" spans="1:9" ht="15">
      <c r="A15" s="88"/>
      <c r="B15" s="96"/>
      <c r="C15" s="137"/>
      <c r="D15" s="104"/>
      <c r="E15" s="138"/>
      <c r="F15" s="19" t="s">
        <v>848</v>
      </c>
      <c r="G15" s="96"/>
      <c r="H15" s="142"/>
      <c r="I15" s="140"/>
    </row>
    <row r="16" spans="1:9" ht="15">
      <c r="A16" s="88" t="s">
        <v>178</v>
      </c>
      <c r="B16" s="96"/>
      <c r="C16" s="143" t="s">
        <v>829</v>
      </c>
      <c r="D16" s="104">
        <v>179352.04</v>
      </c>
      <c r="E16" s="138"/>
      <c r="F16" s="19"/>
      <c r="G16" s="96"/>
      <c r="H16" s="142"/>
      <c r="I16" s="140"/>
    </row>
    <row r="17" spans="1:9" ht="15">
      <c r="A17" s="88"/>
      <c r="B17" s="96"/>
      <c r="C17" s="137"/>
      <c r="D17" s="104"/>
      <c r="E17" s="138"/>
      <c r="F17" s="19" t="s">
        <v>157</v>
      </c>
      <c r="G17" s="96" t="s">
        <v>732</v>
      </c>
      <c r="H17" s="142">
        <f>Annexure!C431</f>
        <v>289800</v>
      </c>
      <c r="I17" s="141">
        <f>Annexure!D431</f>
        <v>270900</v>
      </c>
    </row>
    <row r="18" spans="1:9" ht="15">
      <c r="A18" s="88" t="s">
        <v>827</v>
      </c>
      <c r="B18" s="96"/>
      <c r="C18" s="137">
        <f>'RUF WORK FOR P &amp; L'!E269</f>
        <v>240097</v>
      </c>
      <c r="D18" s="104">
        <v>220511</v>
      </c>
      <c r="E18" s="138"/>
      <c r="F18" s="19"/>
      <c r="G18" s="96"/>
      <c r="H18" s="142"/>
      <c r="I18" s="140"/>
    </row>
    <row r="19" spans="1:9" ht="15">
      <c r="A19" s="88"/>
      <c r="B19" s="96"/>
      <c r="C19" s="137"/>
      <c r="D19" s="104"/>
      <c r="E19" s="138"/>
      <c r="F19" s="19"/>
      <c r="G19" s="96"/>
      <c r="H19" s="144"/>
      <c r="I19" s="140"/>
    </row>
    <row r="20" spans="1:9" ht="15">
      <c r="A20" s="88" t="s">
        <v>146</v>
      </c>
      <c r="B20" s="96" t="s">
        <v>205</v>
      </c>
      <c r="C20" s="137">
        <f>'FINAL FIXED ASSETS'!I85-0.29</f>
        <v>14636619.998239728</v>
      </c>
      <c r="D20" s="104">
        <v>11719982.87</v>
      </c>
      <c r="E20" s="138"/>
      <c r="F20" s="19"/>
      <c r="G20" s="96"/>
      <c r="H20" s="142"/>
      <c r="I20" s="140"/>
    </row>
    <row r="21" spans="1:9" ht="15">
      <c r="A21" s="89"/>
      <c r="B21" s="96"/>
      <c r="C21" s="92"/>
      <c r="D21" s="93"/>
      <c r="E21" s="95"/>
      <c r="F21" s="90"/>
      <c r="G21" s="96"/>
      <c r="H21" s="103"/>
      <c r="I21" s="98"/>
    </row>
    <row r="22" spans="1:9" ht="15">
      <c r="A22" s="88" t="s">
        <v>870</v>
      </c>
      <c r="B22" s="96"/>
      <c r="C22" s="104">
        <f>C27-SUM(C10:C20)</f>
        <v>13066643.001760274</v>
      </c>
      <c r="D22" s="104">
        <f>D27-SUM(D10:D20)</f>
        <v>13250115.669999987</v>
      </c>
      <c r="E22" s="95"/>
      <c r="F22" s="109"/>
      <c r="G22" s="96"/>
      <c r="H22" s="103"/>
      <c r="I22" s="98"/>
    </row>
    <row r="23" spans="1:9" ht="15">
      <c r="A23" s="88" t="s">
        <v>148</v>
      </c>
      <c r="B23" s="96"/>
      <c r="C23" s="92"/>
      <c r="D23" s="93"/>
      <c r="E23" s="95"/>
      <c r="F23" s="90"/>
      <c r="G23" s="96"/>
      <c r="H23" s="103"/>
      <c r="I23" s="98"/>
    </row>
    <row r="24" spans="1:9" ht="15">
      <c r="A24" s="88"/>
      <c r="B24" s="96"/>
      <c r="C24" s="92"/>
      <c r="D24" s="93"/>
      <c r="E24" s="95"/>
      <c r="F24" s="109"/>
      <c r="G24" s="96"/>
      <c r="H24" s="103"/>
      <c r="I24" s="98"/>
    </row>
    <row r="25" spans="1:9" ht="15">
      <c r="A25" s="88"/>
      <c r="B25" s="96"/>
      <c r="C25" s="92"/>
      <c r="D25" s="93"/>
      <c r="E25" s="95"/>
      <c r="F25" s="90"/>
      <c r="G25" s="96"/>
      <c r="H25" s="103"/>
      <c r="I25" s="98"/>
    </row>
    <row r="26" spans="1:9" ht="15.75" thickBot="1">
      <c r="A26" s="89"/>
      <c r="B26" s="96"/>
      <c r="C26" s="92"/>
      <c r="D26" s="93"/>
      <c r="E26" s="95"/>
      <c r="F26" s="90"/>
      <c r="G26" s="96"/>
      <c r="H26" s="103"/>
      <c r="I26" s="98"/>
    </row>
    <row r="27" spans="1:9" ht="15.75" thickBot="1">
      <c r="A27" s="99" t="s">
        <v>128</v>
      </c>
      <c r="B27" s="100"/>
      <c r="C27" s="101">
        <f>H27</f>
        <v>102053497</v>
      </c>
      <c r="D27" s="101">
        <f>I27</f>
        <v>85636458.24</v>
      </c>
      <c r="E27" s="100"/>
      <c r="F27" s="99" t="s">
        <v>128</v>
      </c>
      <c r="G27" s="100"/>
      <c r="H27" s="101">
        <f>SUM(H10:H26)</f>
        <v>102053497</v>
      </c>
      <c r="I27" s="102">
        <f>SUM(I10:I26)</f>
        <v>85636458.24</v>
      </c>
    </row>
    <row r="28" spans="4:9" ht="12.75">
      <c r="D28" s="38"/>
      <c r="I28" s="38"/>
    </row>
    <row r="29" spans="3:4" ht="12.75">
      <c r="C29" s="38"/>
      <c r="D29" s="38"/>
    </row>
    <row r="30" spans="1:8" ht="12.75">
      <c r="A30" s="68" t="s">
        <v>658</v>
      </c>
      <c r="B30" s="68"/>
      <c r="C30" s="68"/>
      <c r="D30" s="68"/>
      <c r="E30" s="68"/>
      <c r="F30" s="68"/>
      <c r="G30" s="68"/>
      <c r="H30" s="68"/>
    </row>
    <row r="31" spans="1:8" ht="12.75">
      <c r="A31" s="68" t="s">
        <v>659</v>
      </c>
      <c r="B31" s="68"/>
      <c r="C31" s="68"/>
      <c r="D31" s="68"/>
      <c r="F31" s="68" t="s">
        <v>724</v>
      </c>
      <c r="G31" s="68"/>
      <c r="H31" s="68"/>
    </row>
    <row r="32" spans="1:8" ht="12.75">
      <c r="A32" s="68" t="s">
        <v>734</v>
      </c>
      <c r="B32" s="68"/>
      <c r="C32" s="68"/>
      <c r="D32" s="68"/>
      <c r="E32" s="68"/>
      <c r="F32" s="68"/>
      <c r="G32" s="68"/>
      <c r="H32" s="68"/>
    </row>
    <row r="33" spans="1:8" ht="12.75">
      <c r="A33" s="68"/>
      <c r="B33" s="68"/>
      <c r="C33" s="68"/>
      <c r="D33" s="68"/>
      <c r="E33" s="68"/>
      <c r="G33" s="68"/>
      <c r="H33" s="68"/>
    </row>
    <row r="34" spans="1:8" ht="12.75">
      <c r="A34" s="68"/>
      <c r="B34" s="68"/>
      <c r="C34" s="68"/>
      <c r="D34" s="68"/>
      <c r="E34" s="68"/>
      <c r="G34" s="68"/>
      <c r="H34" s="68"/>
    </row>
    <row r="35" spans="1:8" ht="12.75">
      <c r="A35" s="68"/>
      <c r="B35" s="68"/>
      <c r="C35" s="68"/>
      <c r="D35" s="68"/>
      <c r="E35" s="68"/>
      <c r="F35" s="68"/>
      <c r="G35" s="68"/>
      <c r="H35" s="68"/>
    </row>
    <row r="36" spans="1:9" ht="12.75">
      <c r="A36" s="69" t="s">
        <v>661</v>
      </c>
      <c r="B36" s="68"/>
      <c r="C36" s="68"/>
      <c r="D36" s="68"/>
      <c r="E36" s="68"/>
      <c r="F36" s="69" t="s">
        <v>667</v>
      </c>
      <c r="G36" s="68"/>
      <c r="I36" s="70" t="s">
        <v>665</v>
      </c>
    </row>
    <row r="37" spans="1:9" ht="12.75">
      <c r="A37" s="69" t="s">
        <v>662</v>
      </c>
      <c r="B37" s="68"/>
      <c r="C37" s="68"/>
      <c r="D37" s="68"/>
      <c r="E37" s="68"/>
      <c r="F37" s="69" t="s">
        <v>737</v>
      </c>
      <c r="G37" s="68"/>
      <c r="H37" s="69" t="s">
        <v>740</v>
      </c>
      <c r="I37" s="69"/>
    </row>
    <row r="38" spans="1:8" ht="12.75">
      <c r="A38" s="68"/>
      <c r="B38" s="68"/>
      <c r="C38" s="68"/>
      <c r="D38" s="68"/>
      <c r="E38" s="68"/>
      <c r="F38" s="68"/>
      <c r="G38" s="68"/>
      <c r="H38" s="68"/>
    </row>
    <row r="39" spans="1:8" ht="12.75">
      <c r="A39" s="68" t="s">
        <v>663</v>
      </c>
      <c r="B39" s="68"/>
      <c r="C39" s="68"/>
      <c r="D39" s="68"/>
      <c r="E39" s="68"/>
      <c r="F39" s="68"/>
      <c r="G39" s="68"/>
      <c r="H39" s="68"/>
    </row>
    <row r="40" spans="1:8" ht="12.75">
      <c r="A40" s="68" t="s">
        <v>664</v>
      </c>
      <c r="B40" s="68"/>
      <c r="C40" s="68"/>
      <c r="D40" s="68"/>
      <c r="E40" s="68"/>
      <c r="F40" s="68"/>
      <c r="G40" s="68"/>
      <c r="H40" s="68"/>
    </row>
  </sheetData>
  <sheetProtection password="DDD9" sheet="1" objects="1" scenarios="1"/>
  <mergeCells count="3">
    <mergeCell ref="A1:I1"/>
    <mergeCell ref="A2:I2"/>
    <mergeCell ref="A4:I4"/>
  </mergeCells>
  <printOptions/>
  <pageMargins left="0.7" right="0.25" top="1" bottom="1" header="0.38" footer="0.5"/>
  <pageSetup horizontalDpi="300" verticalDpi="300" orientation="portrait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9"/>
  <sheetViews>
    <sheetView workbookViewId="0" topLeftCell="A1">
      <selection activeCell="A6" sqref="A6"/>
    </sheetView>
  </sheetViews>
  <sheetFormatPr defaultColWidth="9.140625" defaultRowHeight="12.75"/>
  <cols>
    <col min="1" max="1" width="42.7109375" style="5" customWidth="1"/>
    <col min="2" max="2" width="3.57421875" style="5" customWidth="1"/>
    <col min="3" max="3" width="13.00390625" style="5" customWidth="1"/>
    <col min="4" max="4" width="13.7109375" style="5" customWidth="1"/>
    <col min="5" max="5" width="3.57421875" style="5" customWidth="1"/>
    <col min="6" max="16384" width="9.140625" style="5" customWidth="1"/>
  </cols>
  <sheetData>
    <row r="1" spans="1:5" ht="18">
      <c r="A1" s="153" t="s">
        <v>717</v>
      </c>
      <c r="B1" s="153"/>
      <c r="C1" s="153"/>
      <c r="D1" s="153"/>
      <c r="E1" s="153"/>
    </row>
    <row r="2" spans="1:5" ht="12.75">
      <c r="A2" s="154" t="s">
        <v>76</v>
      </c>
      <c r="B2" s="154"/>
      <c r="C2" s="154"/>
      <c r="D2" s="154"/>
      <c r="E2" s="154"/>
    </row>
    <row r="3" spans="1:5" ht="12.75">
      <c r="A3" s="3"/>
      <c r="B3" s="3"/>
      <c r="C3" s="3"/>
      <c r="D3" s="3"/>
      <c r="E3" s="3"/>
    </row>
    <row r="4" spans="1:5" ht="15">
      <c r="A4" s="156" t="s">
        <v>96</v>
      </c>
      <c r="B4" s="156"/>
      <c r="C4" s="156"/>
      <c r="D4" s="156"/>
      <c r="E4" s="156"/>
    </row>
    <row r="6" spans="1:4" ht="15">
      <c r="A6" s="19" t="s">
        <v>1</v>
      </c>
      <c r="B6" s="19"/>
      <c r="C6" s="19"/>
      <c r="D6" s="10"/>
    </row>
    <row r="7" spans="1:4" ht="15">
      <c r="A7" s="20" t="s">
        <v>2</v>
      </c>
      <c r="B7" s="21"/>
      <c r="C7" s="22" t="s">
        <v>3</v>
      </c>
      <c r="D7" s="23" t="s">
        <v>3</v>
      </c>
    </row>
    <row r="8" spans="1:4" ht="12.75">
      <c r="A8" s="24"/>
      <c r="B8" s="25"/>
      <c r="C8" s="26" t="s">
        <v>4</v>
      </c>
      <c r="D8" s="26" t="s">
        <v>5</v>
      </c>
    </row>
    <row r="9" spans="1:4" ht="12.75">
      <c r="A9" s="27" t="s">
        <v>6</v>
      </c>
      <c r="B9" s="28"/>
      <c r="C9" s="114">
        <f>'RUF WORK FOR BS'!E16</f>
        <v>77506360</v>
      </c>
      <c r="D9" s="114">
        <f>64256243.46+0.1</f>
        <v>64256243.56</v>
      </c>
    </row>
    <row r="10" spans="1:4" ht="12.75">
      <c r="A10" s="29" t="s">
        <v>97</v>
      </c>
      <c r="B10" s="30"/>
      <c r="C10" s="115">
        <f>'Income &amp; Expenditure Final'!C22</f>
        <v>13066643.001760274</v>
      </c>
      <c r="D10" s="115">
        <f>'Income &amp; Expenditure Final'!D22</f>
        <v>13250115.669999987</v>
      </c>
    </row>
    <row r="11" spans="1:4" ht="12.75">
      <c r="A11" s="73"/>
      <c r="B11" s="33"/>
      <c r="C11" s="116"/>
      <c r="D11" s="116"/>
    </row>
    <row r="12" spans="1:5" ht="12.75">
      <c r="A12" s="3" t="s">
        <v>8</v>
      </c>
      <c r="B12" s="3"/>
      <c r="C12" s="117">
        <f>SUM(C9:C10)</f>
        <v>90573003.00176027</v>
      </c>
      <c r="D12" s="117">
        <f>SUM(D9:D10)+0.5</f>
        <v>77506359.72999999</v>
      </c>
      <c r="E12" s="34"/>
    </row>
    <row r="13" spans="1:5" ht="12.75">
      <c r="A13" s="3"/>
      <c r="B13" s="3"/>
      <c r="C13" s="118"/>
      <c r="D13" s="118"/>
      <c r="E13" s="34"/>
    </row>
    <row r="14" spans="1:5" ht="12.75">
      <c r="A14" s="3"/>
      <c r="B14" s="3"/>
      <c r="C14" s="118"/>
      <c r="D14" s="118"/>
      <c r="E14" s="34"/>
    </row>
    <row r="15" spans="1:4" ht="15">
      <c r="A15" s="19" t="s">
        <v>159</v>
      </c>
      <c r="B15" s="19"/>
      <c r="C15" s="119"/>
      <c r="D15" s="120"/>
    </row>
    <row r="16" spans="1:4" ht="15">
      <c r="A16" s="20" t="s">
        <v>2</v>
      </c>
      <c r="B16" s="21"/>
      <c r="C16" s="121" t="s">
        <v>3</v>
      </c>
      <c r="D16" s="121" t="s">
        <v>3</v>
      </c>
    </row>
    <row r="17" spans="1:4" ht="12.75">
      <c r="A17" s="24"/>
      <c r="B17" s="25"/>
      <c r="C17" s="122" t="s">
        <v>4</v>
      </c>
      <c r="D17" s="123" t="s">
        <v>5</v>
      </c>
    </row>
    <row r="18" spans="1:4" ht="12.75">
      <c r="A18" s="29" t="s">
        <v>745</v>
      </c>
      <c r="B18" s="30"/>
      <c r="C18" s="124">
        <f>'RUF WORK FOR BS'!D88</f>
        <v>689332</v>
      </c>
      <c r="D18" s="114">
        <v>1441690.49</v>
      </c>
    </row>
    <row r="19" spans="1:4" ht="12.75">
      <c r="A19" s="29" t="s">
        <v>745</v>
      </c>
      <c r="B19" s="30"/>
      <c r="C19" s="125">
        <f>'RUF WORK FOR BS'!D89</f>
        <v>4838750</v>
      </c>
      <c r="D19" s="115">
        <v>0</v>
      </c>
    </row>
    <row r="20" spans="1:4" ht="12.75">
      <c r="A20" s="29" t="s">
        <v>744</v>
      </c>
      <c r="B20" s="30"/>
      <c r="C20" s="125">
        <f>'RUF WORK FOR BS'!D90</f>
        <v>1056243</v>
      </c>
      <c r="D20" s="115">
        <v>0</v>
      </c>
    </row>
    <row r="21" spans="1:4" ht="12.75">
      <c r="A21" s="32"/>
      <c r="B21" s="33"/>
      <c r="C21" s="126"/>
      <c r="D21" s="116"/>
    </row>
    <row r="22" spans="1:4" ht="12.75">
      <c r="A22" s="3" t="s">
        <v>8</v>
      </c>
      <c r="B22" s="3"/>
      <c r="C22" s="127">
        <f>SUM(C18:C21)</f>
        <v>6584325</v>
      </c>
      <c r="D22" s="117">
        <f>SUM(D18:D21)</f>
        <v>1441690.49</v>
      </c>
    </row>
    <row r="23" spans="1:4" ht="12.75">
      <c r="A23" s="3"/>
      <c r="B23" s="3"/>
      <c r="C23" s="118"/>
      <c r="D23" s="118"/>
    </row>
    <row r="24" spans="1:4" ht="12.75">
      <c r="A24" s="3"/>
      <c r="B24" s="3"/>
      <c r="C24" s="118"/>
      <c r="D24" s="118"/>
    </row>
    <row r="25" spans="1:4" ht="15">
      <c r="A25" s="19" t="s">
        <v>742</v>
      </c>
      <c r="B25" s="19"/>
      <c r="C25" s="119"/>
      <c r="D25" s="120"/>
    </row>
    <row r="26" spans="1:4" ht="15">
      <c r="A26" s="20" t="s">
        <v>2</v>
      </c>
      <c r="B26" s="21"/>
      <c r="C26" s="121" t="s">
        <v>3</v>
      </c>
      <c r="D26" s="121" t="s">
        <v>3</v>
      </c>
    </row>
    <row r="27" spans="1:4" ht="12.75">
      <c r="A27" s="24"/>
      <c r="B27" s="25"/>
      <c r="C27" s="122" t="s">
        <v>4</v>
      </c>
      <c r="D27" s="123" t="s">
        <v>5</v>
      </c>
    </row>
    <row r="28" spans="1:4" ht="12.75">
      <c r="A28" s="106" t="s">
        <v>79</v>
      </c>
      <c r="B28" s="28"/>
      <c r="C28" s="124">
        <f>'RUF WORK FOR BS'!D94</f>
        <v>14000</v>
      </c>
      <c r="D28" s="114">
        <f>C28</f>
        <v>14000</v>
      </c>
    </row>
    <row r="29" spans="1:4" ht="12.75">
      <c r="A29" s="107" t="s">
        <v>81</v>
      </c>
      <c r="B29" s="30"/>
      <c r="C29" s="125">
        <f>'RUF WORK FOR BS'!D95</f>
        <v>6375</v>
      </c>
      <c r="D29" s="115">
        <f>C29</f>
        <v>6375</v>
      </c>
    </row>
    <row r="30" spans="1:4" ht="12.75">
      <c r="A30" s="107" t="s">
        <v>80</v>
      </c>
      <c r="B30" s="30"/>
      <c r="C30" s="125">
        <f>'RUF WORK FOR BS'!D96</f>
        <v>11000</v>
      </c>
      <c r="D30" s="115">
        <f aca="true" t="shared" si="0" ref="D30:D37">C30</f>
        <v>11000</v>
      </c>
    </row>
    <row r="31" spans="1:4" ht="12.75">
      <c r="A31" s="107" t="s">
        <v>82</v>
      </c>
      <c r="B31" s="30"/>
      <c r="C31" s="125">
        <f>'RUF WORK FOR BS'!D97</f>
        <v>18500</v>
      </c>
      <c r="D31" s="115">
        <f t="shared" si="0"/>
        <v>18500</v>
      </c>
    </row>
    <row r="32" spans="1:4" ht="12.75">
      <c r="A32" s="107" t="s">
        <v>83</v>
      </c>
      <c r="B32" s="30"/>
      <c r="C32" s="125">
        <f>'RUF WORK FOR BS'!D98</f>
        <v>11500</v>
      </c>
      <c r="D32" s="115">
        <f t="shared" si="0"/>
        <v>11500</v>
      </c>
    </row>
    <row r="33" spans="1:4" ht="12.75">
      <c r="A33" s="107" t="s">
        <v>84</v>
      </c>
      <c r="B33" s="30"/>
      <c r="C33" s="125">
        <f>'RUF WORK FOR BS'!D99</f>
        <v>10000</v>
      </c>
      <c r="D33" s="115">
        <f t="shared" si="0"/>
        <v>10000</v>
      </c>
    </row>
    <row r="34" spans="1:4" ht="12.75">
      <c r="A34" s="107" t="s">
        <v>85</v>
      </c>
      <c r="B34" s="30"/>
      <c r="C34" s="125">
        <f>'RUF WORK FOR BS'!D100</f>
        <v>4570</v>
      </c>
      <c r="D34" s="115">
        <f t="shared" si="0"/>
        <v>4570</v>
      </c>
    </row>
    <row r="35" spans="1:4" ht="12.75">
      <c r="A35" s="107" t="s">
        <v>86</v>
      </c>
      <c r="B35" s="30"/>
      <c r="C35" s="125">
        <f>'RUF WORK FOR BS'!D101</f>
        <v>11000</v>
      </c>
      <c r="D35" s="115">
        <f t="shared" si="0"/>
        <v>11000</v>
      </c>
    </row>
    <row r="36" spans="1:4" ht="12.75">
      <c r="A36" s="107" t="s">
        <v>87</v>
      </c>
      <c r="B36" s="30"/>
      <c r="C36" s="125">
        <f>'RUF WORK FOR BS'!D102</f>
        <v>4000</v>
      </c>
      <c r="D36" s="115">
        <f t="shared" si="0"/>
        <v>4000</v>
      </c>
    </row>
    <row r="37" spans="1:4" ht="12.75">
      <c r="A37" s="107" t="s">
        <v>88</v>
      </c>
      <c r="B37" s="30"/>
      <c r="C37" s="125">
        <f>'RUF WORK FOR BS'!D103</f>
        <v>10000</v>
      </c>
      <c r="D37" s="115">
        <f t="shared" si="0"/>
        <v>10000</v>
      </c>
    </row>
    <row r="38" spans="1:4" ht="12.75">
      <c r="A38" s="32"/>
      <c r="B38" s="33"/>
      <c r="C38" s="126"/>
      <c r="D38" s="116"/>
    </row>
    <row r="39" spans="1:4" ht="12.75">
      <c r="A39" s="3" t="s">
        <v>8</v>
      </c>
      <c r="B39" s="3"/>
      <c r="C39" s="117">
        <f>SUM(C28:C38)</f>
        <v>100945</v>
      </c>
      <c r="D39" s="117">
        <f>SUM(D28:D38)</f>
        <v>100945</v>
      </c>
    </row>
    <row r="40" spans="1:4" ht="12.75">
      <c r="A40" s="3"/>
      <c r="B40" s="3"/>
      <c r="C40" s="118"/>
      <c r="D40" s="118"/>
    </row>
    <row r="41" spans="1:4" ht="15">
      <c r="A41" s="19" t="s">
        <v>743</v>
      </c>
      <c r="B41" s="19"/>
      <c r="C41" s="119"/>
      <c r="D41" s="120"/>
    </row>
    <row r="42" spans="1:4" ht="15">
      <c r="A42" s="20" t="s">
        <v>2</v>
      </c>
      <c r="B42" s="21"/>
      <c r="C42" s="121" t="s">
        <v>3</v>
      </c>
      <c r="D42" s="121" t="s">
        <v>3</v>
      </c>
    </row>
    <row r="43" spans="1:4" ht="12.75">
      <c r="A43" s="24"/>
      <c r="B43" s="25"/>
      <c r="C43" s="122" t="s">
        <v>4</v>
      </c>
      <c r="D43" s="123" t="s">
        <v>5</v>
      </c>
    </row>
    <row r="44" spans="1:4" ht="12.75">
      <c r="A44" s="106" t="s">
        <v>461</v>
      </c>
      <c r="B44" s="28"/>
      <c r="C44" s="124">
        <f>'RUF WORK FOR BS'!E108</f>
        <v>419000</v>
      </c>
      <c r="D44" s="114">
        <v>353000</v>
      </c>
    </row>
    <row r="45" spans="1:4" ht="12.75">
      <c r="A45" s="107" t="s">
        <v>746</v>
      </c>
      <c r="B45" s="30"/>
      <c r="C45" s="125">
        <v>0</v>
      </c>
      <c r="D45" s="115">
        <v>3000</v>
      </c>
    </row>
    <row r="46" spans="1:4" ht="12.75">
      <c r="A46" s="107" t="s">
        <v>318</v>
      </c>
      <c r="B46" s="30"/>
      <c r="C46" s="125">
        <f>'RUF WORK FOR BS'!E110</f>
        <v>100000</v>
      </c>
      <c r="D46" s="115">
        <v>0</v>
      </c>
    </row>
    <row r="47" spans="1:4" ht="12.75">
      <c r="A47" s="107" t="s">
        <v>10</v>
      </c>
      <c r="B47" s="30"/>
      <c r="C47" s="125">
        <f>'RUF WORK FOR BS'!E113</f>
        <v>45949</v>
      </c>
      <c r="D47" s="115">
        <v>13869.5</v>
      </c>
    </row>
    <row r="48" spans="1:4" ht="12.75">
      <c r="A48" s="107" t="s">
        <v>11</v>
      </c>
      <c r="B48" s="30"/>
      <c r="C48" s="125">
        <f>'RUF WORK FOR BS'!E117</f>
        <v>3028223</v>
      </c>
      <c r="D48" s="115">
        <f>1448478.9+785457+214510+37981</f>
        <v>2486426.9</v>
      </c>
    </row>
    <row r="49" spans="1:4" ht="12.75">
      <c r="A49" s="107" t="s">
        <v>348</v>
      </c>
      <c r="B49" s="30"/>
      <c r="C49" s="125">
        <f>'RUF WORK FOR BS'!E121</f>
        <v>16476490</v>
      </c>
      <c r="D49" s="115">
        <f>9920150+581250+3637040+927600</f>
        <v>15066040</v>
      </c>
    </row>
    <row r="50" spans="1:4" ht="12.75">
      <c r="A50" s="32"/>
      <c r="B50" s="33"/>
      <c r="C50" s="126"/>
      <c r="D50" s="116"/>
    </row>
    <row r="51" spans="1:4" ht="12.75">
      <c r="A51" s="3" t="s">
        <v>8</v>
      </c>
      <c r="B51" s="3"/>
      <c r="C51" s="117">
        <f>SUM(C44:C50)</f>
        <v>20069662</v>
      </c>
      <c r="D51" s="117">
        <f>SUM(D44:D50)</f>
        <v>17922336.4</v>
      </c>
    </row>
    <row r="52" spans="1:4" ht="12.75">
      <c r="A52" s="3"/>
      <c r="B52" s="3"/>
      <c r="C52" s="118"/>
      <c r="D52" s="118"/>
    </row>
    <row r="53" spans="1:4" ht="12.75">
      <c r="A53" s="3"/>
      <c r="B53" s="3"/>
      <c r="C53" s="118"/>
      <c r="D53" s="118"/>
    </row>
    <row r="54" spans="1:4" ht="15">
      <c r="A54" s="19" t="s">
        <v>830</v>
      </c>
      <c r="B54" s="19"/>
      <c r="C54" s="119"/>
      <c r="D54" s="120"/>
    </row>
    <row r="55" spans="1:4" ht="15">
      <c r="A55" s="20" t="s">
        <v>2</v>
      </c>
      <c r="B55" s="21"/>
      <c r="C55" s="121" t="s">
        <v>3</v>
      </c>
      <c r="D55" s="121" t="s">
        <v>3</v>
      </c>
    </row>
    <row r="56" spans="1:4" ht="12.75">
      <c r="A56" s="24"/>
      <c r="B56" s="25"/>
      <c r="C56" s="122" t="s">
        <v>4</v>
      </c>
      <c r="D56" s="122" t="s">
        <v>5</v>
      </c>
    </row>
    <row r="57" spans="1:4" ht="12.75">
      <c r="A57" s="106" t="s">
        <v>22</v>
      </c>
      <c r="B57" s="28"/>
      <c r="C57" s="124">
        <f>'RUF WORK FOR BS'!D125</f>
        <v>132500</v>
      </c>
      <c r="D57" s="114">
        <v>141000</v>
      </c>
    </row>
    <row r="58" spans="1:4" ht="12.75">
      <c r="A58" s="107" t="s">
        <v>249</v>
      </c>
      <c r="B58" s="30"/>
      <c r="C58" s="125">
        <f>'RUF WORK FOR BS'!D126</f>
        <v>163600</v>
      </c>
      <c r="D58" s="115">
        <v>169200</v>
      </c>
    </row>
    <row r="59" spans="1:4" ht="12.75">
      <c r="A59" s="107" t="s">
        <v>250</v>
      </c>
      <c r="B59" s="30"/>
      <c r="C59" s="125">
        <f>'RUF WORK FOR BS'!D127</f>
        <v>4656400</v>
      </c>
      <c r="D59" s="115">
        <v>4864850</v>
      </c>
    </row>
    <row r="60" spans="1:4" ht="12.75">
      <c r="A60" s="107" t="s">
        <v>23</v>
      </c>
      <c r="B60" s="30"/>
      <c r="C60" s="125">
        <f>'RUF WORK FOR BS'!D128</f>
        <v>0</v>
      </c>
      <c r="D60" s="115">
        <v>311100</v>
      </c>
    </row>
    <row r="61" spans="1:4" ht="12.75">
      <c r="A61" s="107" t="s">
        <v>24</v>
      </c>
      <c r="B61" s="30"/>
      <c r="C61" s="125">
        <f>'RUF WORK FOR BS'!D129</f>
        <v>311650</v>
      </c>
      <c r="D61" s="115">
        <v>1800</v>
      </c>
    </row>
    <row r="62" spans="1:4" ht="12.75">
      <c r="A62" s="107" t="s">
        <v>25</v>
      </c>
      <c r="B62" s="30"/>
      <c r="C62" s="125">
        <f>'RUF WORK FOR BS'!D130</f>
        <v>7094875</v>
      </c>
      <c r="D62" s="115">
        <v>5226065</v>
      </c>
    </row>
    <row r="63" spans="1:4" ht="12.75">
      <c r="A63" s="107" t="s">
        <v>459</v>
      </c>
      <c r="B63" s="30"/>
      <c r="C63" s="125">
        <f>'RUF WORK FOR BS'!D131</f>
        <v>1731225</v>
      </c>
      <c r="D63" s="115">
        <v>1008685</v>
      </c>
    </row>
    <row r="64" spans="1:4" ht="12.75">
      <c r="A64" s="108"/>
      <c r="B64" s="33"/>
      <c r="C64" s="126"/>
      <c r="D64" s="116"/>
    </row>
    <row r="65" spans="1:4" ht="12.75">
      <c r="A65" s="3" t="s">
        <v>8</v>
      </c>
      <c r="B65" s="3"/>
      <c r="C65" s="127">
        <f>SUM(C57:C63)</f>
        <v>14090250</v>
      </c>
      <c r="D65" s="127">
        <f>SUM(D57:D63)</f>
        <v>11722700</v>
      </c>
    </row>
    <row r="66" spans="1:4" ht="12.75">
      <c r="A66" s="3"/>
      <c r="B66" s="3"/>
      <c r="C66" s="118"/>
      <c r="D66" s="118"/>
    </row>
    <row r="67" spans="1:4" ht="12.75">
      <c r="A67" s="3"/>
      <c r="B67" s="3"/>
      <c r="C67" s="118"/>
      <c r="D67" s="118"/>
    </row>
    <row r="68" spans="1:4" ht="15">
      <c r="A68" s="19" t="s">
        <v>831</v>
      </c>
      <c r="B68" s="19"/>
      <c r="C68" s="119"/>
      <c r="D68" s="120"/>
    </row>
    <row r="69" spans="1:4" ht="15">
      <c r="A69" s="20" t="s">
        <v>2</v>
      </c>
      <c r="B69" s="21"/>
      <c r="C69" s="121" t="s">
        <v>3</v>
      </c>
      <c r="D69" s="121" t="s">
        <v>3</v>
      </c>
    </row>
    <row r="70" spans="1:4" ht="12.75">
      <c r="A70" s="24"/>
      <c r="B70" s="25"/>
      <c r="C70" s="122" t="s">
        <v>4</v>
      </c>
      <c r="D70" s="123" t="s">
        <v>5</v>
      </c>
    </row>
    <row r="71" spans="1:4" ht="12.75">
      <c r="A71" s="106" t="s">
        <v>401</v>
      </c>
      <c r="B71" s="28"/>
      <c r="C71" s="124">
        <f>'RUF WORK FOR BS'!D135</f>
        <v>4561</v>
      </c>
      <c r="D71" s="114">
        <v>0</v>
      </c>
    </row>
    <row r="72" spans="1:4" ht="12.75">
      <c r="A72" s="107" t="s">
        <v>415</v>
      </c>
      <c r="B72" s="30"/>
      <c r="C72" s="125">
        <f>'RUF WORK FOR BS'!D136</f>
        <v>20000</v>
      </c>
      <c r="D72" s="115">
        <v>0</v>
      </c>
    </row>
    <row r="73" spans="1:4" ht="12.75">
      <c r="A73" s="107" t="s">
        <v>416</v>
      </c>
      <c r="B73" s="30"/>
      <c r="C73" s="125">
        <f>'RUF WORK FOR BS'!D137</f>
        <v>564025</v>
      </c>
      <c r="D73" s="115">
        <v>0</v>
      </c>
    </row>
    <row r="74" spans="1:4" ht="12.75">
      <c r="A74" s="107" t="s">
        <v>851</v>
      </c>
      <c r="B74" s="30"/>
      <c r="C74" s="125">
        <v>0</v>
      </c>
      <c r="D74" s="115">
        <v>18651.52</v>
      </c>
    </row>
    <row r="75" spans="1:4" ht="12.75">
      <c r="A75" s="107" t="s">
        <v>219</v>
      </c>
      <c r="B75" s="30"/>
      <c r="C75" s="125">
        <f>'RUF WORK FOR BS'!D138</f>
        <v>9000</v>
      </c>
      <c r="D75" s="115">
        <v>0</v>
      </c>
    </row>
    <row r="76" spans="1:4" ht="12.75">
      <c r="A76" s="107" t="s">
        <v>317</v>
      </c>
      <c r="B76" s="30"/>
      <c r="C76" s="125">
        <f>'RUF WORK FOR BS'!D139</f>
        <v>8267</v>
      </c>
      <c r="D76" s="115">
        <v>0</v>
      </c>
    </row>
    <row r="77" spans="1:4" ht="12.75">
      <c r="A77" s="107" t="s">
        <v>417</v>
      </c>
      <c r="B77" s="30"/>
      <c r="C77" s="125">
        <f>'RUF WORK FOR BS'!D140</f>
        <v>13900</v>
      </c>
      <c r="D77" s="115">
        <v>0</v>
      </c>
    </row>
    <row r="78" spans="1:4" ht="12.75">
      <c r="A78" s="107" t="s">
        <v>748</v>
      </c>
      <c r="B78" s="30"/>
      <c r="C78" s="125">
        <v>0</v>
      </c>
      <c r="D78" s="115">
        <v>40002</v>
      </c>
    </row>
    <row r="79" spans="1:4" ht="12.75">
      <c r="A79" s="107" t="s">
        <v>12</v>
      </c>
      <c r="B79" s="30"/>
      <c r="C79" s="125">
        <v>0</v>
      </c>
      <c r="D79" s="115">
        <v>3546</v>
      </c>
    </row>
    <row r="80" spans="1:4" ht="12.75">
      <c r="A80" s="107" t="s">
        <v>747</v>
      </c>
      <c r="B80" s="30"/>
      <c r="C80" s="125">
        <v>0</v>
      </c>
      <c r="D80" s="115">
        <v>21886</v>
      </c>
    </row>
    <row r="81" spans="1:4" ht="12.75">
      <c r="A81" s="107" t="s">
        <v>220</v>
      </c>
      <c r="B81" s="30"/>
      <c r="C81" s="125">
        <f>'RUF WORK FOR BS'!D141</f>
        <v>201998</v>
      </c>
      <c r="D81" s="115">
        <v>0</v>
      </c>
    </row>
    <row r="82" spans="1:4" ht="12.75">
      <c r="A82" s="107" t="s">
        <v>318</v>
      </c>
      <c r="B82" s="30"/>
      <c r="C82" s="125">
        <f>'RUF WORK FOR BS'!D142</f>
        <v>85308</v>
      </c>
      <c r="D82" s="115">
        <v>0</v>
      </c>
    </row>
    <row r="83" spans="1:4" ht="12.75">
      <c r="A83" s="107" t="s">
        <v>221</v>
      </c>
      <c r="B83" s="30"/>
      <c r="C83" s="125">
        <f>'RUF WORK FOR BS'!D143</f>
        <v>352525</v>
      </c>
      <c r="D83" s="115">
        <v>479048</v>
      </c>
    </row>
    <row r="84" spans="1:4" ht="12.75">
      <c r="A84" s="107" t="s">
        <v>418</v>
      </c>
      <c r="B84" s="30"/>
      <c r="C84" s="125">
        <f>'RUF WORK FOR BS'!D144</f>
        <v>818</v>
      </c>
      <c r="D84" s="115">
        <v>0</v>
      </c>
    </row>
    <row r="85" spans="1:4" ht="12.75">
      <c r="A85" s="107" t="s">
        <v>222</v>
      </c>
      <c r="B85" s="30"/>
      <c r="C85" s="125">
        <f>'RUF WORK FOR BS'!D145</f>
        <v>713105</v>
      </c>
      <c r="D85" s="115">
        <v>425051</v>
      </c>
    </row>
    <row r="86" spans="1:4" ht="12.75">
      <c r="A86" s="107" t="s">
        <v>319</v>
      </c>
      <c r="B86" s="30"/>
      <c r="C86" s="125">
        <f>'RUF WORK FOR BS'!D146</f>
        <v>2000</v>
      </c>
      <c r="D86" s="115">
        <v>0</v>
      </c>
    </row>
    <row r="87" spans="1:4" ht="12.75">
      <c r="A87" s="32"/>
      <c r="B87" s="33"/>
      <c r="C87" s="126"/>
      <c r="D87" s="116"/>
    </row>
    <row r="88" spans="1:4" ht="12.75">
      <c r="A88" s="3" t="s">
        <v>8</v>
      </c>
      <c r="B88" s="3"/>
      <c r="C88" s="117">
        <f>SUM(C71:C87)</f>
        <v>1975507</v>
      </c>
      <c r="D88" s="117">
        <f>SUM(D71:D87)</f>
        <v>988184.52</v>
      </c>
    </row>
    <row r="89" spans="1:4" ht="12.75">
      <c r="A89" s="3"/>
      <c r="B89" s="3"/>
      <c r="C89" s="118"/>
      <c r="D89" s="118"/>
    </row>
    <row r="90" spans="1:4" ht="12.75">
      <c r="A90" s="3"/>
      <c r="B90" s="3"/>
      <c r="C90" s="118"/>
      <c r="D90" s="118"/>
    </row>
    <row r="91" spans="1:4" ht="12.75">
      <c r="A91" s="3"/>
      <c r="B91" s="3"/>
      <c r="C91" s="118"/>
      <c r="D91" s="118"/>
    </row>
    <row r="92" spans="1:4" ht="12.75">
      <c r="A92" s="3"/>
      <c r="B92" s="3"/>
      <c r="C92" s="118"/>
      <c r="D92" s="118"/>
    </row>
    <row r="93" spans="1:4" ht="12.75">
      <c r="A93" s="3"/>
      <c r="B93" s="3"/>
      <c r="C93" s="118"/>
      <c r="D93" s="118"/>
    </row>
    <row r="94" spans="1:4" ht="12.75">
      <c r="A94" s="3"/>
      <c r="B94" s="3"/>
      <c r="C94" s="118"/>
      <c r="D94" s="118"/>
    </row>
    <row r="95" spans="1:4" ht="12.75">
      <c r="A95" s="3"/>
      <c r="B95" s="3"/>
      <c r="C95" s="118"/>
      <c r="D95" s="118"/>
    </row>
    <row r="96" spans="1:4" ht="12.75">
      <c r="A96" s="3"/>
      <c r="B96" s="3"/>
      <c r="C96" s="118"/>
      <c r="D96" s="118"/>
    </row>
    <row r="97" spans="1:4" ht="12.75">
      <c r="A97" s="3"/>
      <c r="B97" s="3"/>
      <c r="C97" s="118"/>
      <c r="D97" s="118"/>
    </row>
    <row r="98" spans="1:4" ht="12.75">
      <c r="A98" s="3"/>
      <c r="B98" s="3"/>
      <c r="C98" s="118"/>
      <c r="D98" s="118"/>
    </row>
    <row r="99" spans="1:4" ht="12.75">
      <c r="A99" s="3"/>
      <c r="B99" s="3"/>
      <c r="C99" s="118"/>
      <c r="D99" s="118"/>
    </row>
    <row r="100" spans="1:4" ht="12.75">
      <c r="A100" s="3"/>
      <c r="B100" s="3"/>
      <c r="C100" s="118"/>
      <c r="D100" s="118"/>
    </row>
    <row r="101" spans="1:4" ht="12.75">
      <c r="A101" s="3"/>
      <c r="B101" s="3"/>
      <c r="C101" s="118"/>
      <c r="D101" s="118"/>
    </row>
    <row r="102" spans="1:4" ht="12.75">
      <c r="A102" s="3"/>
      <c r="B102" s="3"/>
      <c r="C102" s="118"/>
      <c r="D102" s="118"/>
    </row>
    <row r="103" spans="1:4" ht="15">
      <c r="A103" s="19" t="s">
        <v>832</v>
      </c>
      <c r="B103" s="19"/>
      <c r="C103" s="119"/>
      <c r="D103" s="120"/>
    </row>
    <row r="104" spans="1:4" ht="15">
      <c r="A104" s="20" t="s">
        <v>2</v>
      </c>
      <c r="B104" s="21"/>
      <c r="C104" s="121" t="s">
        <v>3</v>
      </c>
      <c r="D104" s="121" t="s">
        <v>3</v>
      </c>
    </row>
    <row r="105" spans="1:4" ht="12.75">
      <c r="A105" s="24"/>
      <c r="B105" s="25"/>
      <c r="C105" s="122" t="s">
        <v>4</v>
      </c>
      <c r="D105" s="123" t="s">
        <v>5</v>
      </c>
    </row>
    <row r="106" spans="1:4" ht="12.75">
      <c r="A106" s="106" t="s">
        <v>355</v>
      </c>
      <c r="B106" s="28"/>
      <c r="C106" s="124">
        <f>'RUF WORK FOR BS'!D157</f>
        <v>368</v>
      </c>
      <c r="D106" s="115">
        <v>368</v>
      </c>
    </row>
    <row r="107" spans="1:4" ht="12.75">
      <c r="A107" s="107" t="s">
        <v>754</v>
      </c>
      <c r="B107" s="30"/>
      <c r="C107" s="125">
        <v>0</v>
      </c>
      <c r="D107" s="115">
        <v>6000</v>
      </c>
    </row>
    <row r="108" spans="1:4" ht="12.75">
      <c r="A108" s="107" t="s">
        <v>755</v>
      </c>
      <c r="B108" s="30"/>
      <c r="C108" s="125">
        <v>0</v>
      </c>
      <c r="D108" s="115">
        <v>8185</v>
      </c>
    </row>
    <row r="109" spans="1:4" ht="12.75">
      <c r="A109" s="107" t="s">
        <v>756</v>
      </c>
      <c r="B109" s="30"/>
      <c r="C109" s="125">
        <v>0</v>
      </c>
      <c r="D109" s="115">
        <v>7000</v>
      </c>
    </row>
    <row r="110" spans="1:4" ht="12.75">
      <c r="A110" s="107" t="s">
        <v>757</v>
      </c>
      <c r="B110" s="30"/>
      <c r="C110" s="125">
        <v>0</v>
      </c>
      <c r="D110" s="115">
        <v>10000</v>
      </c>
    </row>
    <row r="111" spans="1:4" ht="12.75">
      <c r="A111" s="107" t="s">
        <v>749</v>
      </c>
      <c r="B111" s="30"/>
      <c r="C111" s="125">
        <f>'RUF WORK FOR BS'!D169</f>
        <v>1599</v>
      </c>
      <c r="D111" s="115">
        <v>11692</v>
      </c>
    </row>
    <row r="112" spans="1:4" ht="12.75">
      <c r="A112" s="107" t="s">
        <v>751</v>
      </c>
      <c r="B112" s="30"/>
      <c r="C112" s="125">
        <f>'RUF WORK FOR BS'!D175</f>
        <v>4000</v>
      </c>
      <c r="D112" s="115">
        <v>2000</v>
      </c>
    </row>
    <row r="113" spans="1:4" ht="12.75">
      <c r="A113" s="107" t="s">
        <v>356</v>
      </c>
      <c r="B113" s="30"/>
      <c r="C113" s="125">
        <f>'RUF WORK FOR BS'!D158</f>
        <v>30950</v>
      </c>
      <c r="D113" s="115">
        <v>32680</v>
      </c>
    </row>
    <row r="114" spans="1:4" ht="12.75">
      <c r="A114" s="107" t="s">
        <v>28</v>
      </c>
      <c r="B114" s="30"/>
      <c r="C114" s="125">
        <f>'RUF WORK FOR BS'!D176</f>
        <v>24992</v>
      </c>
      <c r="D114" s="115">
        <v>24992.35</v>
      </c>
    </row>
    <row r="115" spans="1:4" ht="12.75">
      <c r="A115" s="107" t="s">
        <v>29</v>
      </c>
      <c r="B115" s="30"/>
      <c r="C115" s="125">
        <f>'RUF WORK FOR BS'!D177</f>
        <v>2175</v>
      </c>
      <c r="D115" s="115">
        <v>0</v>
      </c>
    </row>
    <row r="116" spans="1:4" ht="12.75">
      <c r="A116" s="107" t="s">
        <v>346</v>
      </c>
      <c r="B116" s="30"/>
      <c r="C116" s="125">
        <v>0</v>
      </c>
      <c r="D116" s="115">
        <v>580</v>
      </c>
    </row>
    <row r="117" spans="1:4" ht="12.75">
      <c r="A117" s="107" t="s">
        <v>347</v>
      </c>
      <c r="B117" s="30"/>
      <c r="C117" s="125">
        <f>'RUF WORK FOR BS'!D170</f>
        <v>3000</v>
      </c>
      <c r="D117" s="115">
        <v>0</v>
      </c>
    </row>
    <row r="118" spans="1:4" ht="12.75">
      <c r="A118" s="107" t="s">
        <v>65</v>
      </c>
      <c r="B118" s="30"/>
      <c r="C118" s="125">
        <f>'RUF WORK FOR BS'!D159</f>
        <v>500</v>
      </c>
      <c r="D118" s="115">
        <v>0</v>
      </c>
    </row>
    <row r="119" spans="1:4" ht="12.75">
      <c r="A119" s="107" t="s">
        <v>30</v>
      </c>
      <c r="B119" s="30"/>
      <c r="C119" s="125">
        <f>'RUF WORK FOR BS'!D178</f>
        <v>3510</v>
      </c>
      <c r="D119" s="115">
        <v>3510</v>
      </c>
    </row>
    <row r="120" spans="1:4" ht="12.75">
      <c r="A120" s="107" t="s">
        <v>357</v>
      </c>
      <c r="B120" s="30"/>
      <c r="C120" s="125">
        <f>'RUF WORK FOR BS'!D160</f>
        <v>7050</v>
      </c>
      <c r="D120" s="115">
        <v>0</v>
      </c>
    </row>
    <row r="121" spans="1:4" ht="12.75">
      <c r="A121" s="107" t="s">
        <v>358</v>
      </c>
      <c r="B121" s="30"/>
      <c r="C121" s="125">
        <f>'RUF WORK FOR BS'!D161</f>
        <v>3814</v>
      </c>
      <c r="D121" s="115">
        <v>0</v>
      </c>
    </row>
    <row r="122" spans="1:4" ht="12.75">
      <c r="A122" s="107" t="s">
        <v>31</v>
      </c>
      <c r="B122" s="30"/>
      <c r="C122" s="125">
        <f>'RUF WORK FOR BS'!D179</f>
        <v>7148</v>
      </c>
      <c r="D122" s="115">
        <v>7148</v>
      </c>
    </row>
    <row r="123" spans="1:4" ht="12.75">
      <c r="A123" s="107" t="s">
        <v>764</v>
      </c>
      <c r="B123" s="30"/>
      <c r="C123" s="125">
        <v>0</v>
      </c>
      <c r="D123" s="115">
        <v>5683</v>
      </c>
    </row>
    <row r="124" spans="1:4" ht="12.75">
      <c r="A124" s="107" t="s">
        <v>32</v>
      </c>
      <c r="B124" s="30"/>
      <c r="C124" s="125">
        <f>'RUF WORK FOR BS'!D180</f>
        <v>2240</v>
      </c>
      <c r="D124" s="115">
        <v>950</v>
      </c>
    </row>
    <row r="125" spans="1:4" ht="12.75">
      <c r="A125" s="107" t="s">
        <v>359</v>
      </c>
      <c r="B125" s="30"/>
      <c r="C125" s="125">
        <f>'RUF WORK FOR BS'!D162</f>
        <v>14230</v>
      </c>
      <c r="D125" s="115">
        <v>0</v>
      </c>
    </row>
    <row r="126" spans="1:4" ht="12.75">
      <c r="A126" s="107" t="s">
        <v>753</v>
      </c>
      <c r="B126" s="30"/>
      <c r="C126" s="125">
        <v>0</v>
      </c>
      <c r="D126" s="115">
        <v>1809026.65</v>
      </c>
    </row>
    <row r="127" spans="1:4" ht="12.75">
      <c r="A127" s="107" t="s">
        <v>463</v>
      </c>
      <c r="B127" s="30"/>
      <c r="C127" s="125">
        <v>0</v>
      </c>
      <c r="D127" s="115">
        <v>17055</v>
      </c>
    </row>
    <row r="128" spans="1:4" ht="12.75">
      <c r="A128" s="107" t="s">
        <v>33</v>
      </c>
      <c r="B128" s="30"/>
      <c r="C128" s="125">
        <f>'RUF WORK FOR BS'!D171</f>
        <v>5643</v>
      </c>
      <c r="D128" s="115">
        <f>7100+6843</f>
        <v>13943</v>
      </c>
    </row>
    <row r="129" spans="1:4" ht="12.75">
      <c r="A129" s="107" t="s">
        <v>360</v>
      </c>
      <c r="B129" s="30"/>
      <c r="C129" s="125">
        <f>'RUF WORK FOR BS'!D163</f>
        <v>6915</v>
      </c>
      <c r="D129" s="115">
        <v>0</v>
      </c>
    </row>
    <row r="130" spans="1:4" ht="12.75">
      <c r="A130" s="107" t="s">
        <v>34</v>
      </c>
      <c r="B130" s="30"/>
      <c r="C130" s="125">
        <f>'RUF WORK FOR BS'!D182</f>
        <v>2390</v>
      </c>
      <c r="D130" s="115">
        <v>2390</v>
      </c>
    </row>
    <row r="131" spans="1:4" ht="12.75">
      <c r="A131" s="107" t="s">
        <v>361</v>
      </c>
      <c r="B131" s="30"/>
      <c r="C131" s="125">
        <f>'RUF WORK FOR BS'!D164</f>
        <v>4810</v>
      </c>
      <c r="D131" s="115">
        <v>0</v>
      </c>
    </row>
    <row r="132" spans="1:4" ht="12.75">
      <c r="A132" s="107" t="s">
        <v>750</v>
      </c>
      <c r="B132" s="30"/>
      <c r="C132" s="125">
        <f>'RUF WORK FOR BS'!D173</f>
        <v>5000</v>
      </c>
      <c r="D132" s="115">
        <v>5000</v>
      </c>
    </row>
    <row r="133" spans="1:4" ht="12.75">
      <c r="A133" s="107" t="s">
        <v>363</v>
      </c>
      <c r="B133" s="30"/>
      <c r="C133" s="125">
        <f>'RUF WORK FOR BS'!D165</f>
        <v>30950</v>
      </c>
      <c r="D133" s="115">
        <v>32970</v>
      </c>
    </row>
    <row r="134" spans="1:4" ht="12.75">
      <c r="A134" s="107" t="s">
        <v>362</v>
      </c>
      <c r="B134" s="30"/>
      <c r="C134" s="125">
        <f>'RUF WORK FOR BS'!D166</f>
        <v>3575</v>
      </c>
      <c r="D134" s="115">
        <v>0</v>
      </c>
    </row>
    <row r="135" spans="1:4" ht="12.75">
      <c r="A135" s="107" t="s">
        <v>35</v>
      </c>
      <c r="B135" s="30"/>
      <c r="C135" s="125">
        <f>'RUF WORK FOR BS'!D183</f>
        <v>7900</v>
      </c>
      <c r="D135" s="115">
        <v>7900</v>
      </c>
    </row>
    <row r="136" spans="1:4" ht="12.75">
      <c r="A136" s="107" t="s">
        <v>852</v>
      </c>
      <c r="B136" s="30"/>
      <c r="C136" s="125">
        <v>116283</v>
      </c>
      <c r="D136" s="115">
        <v>0</v>
      </c>
    </row>
    <row r="137" spans="1:4" ht="12.75">
      <c r="A137" s="107" t="s">
        <v>853</v>
      </c>
      <c r="B137" s="30"/>
      <c r="C137" s="125">
        <v>1200000</v>
      </c>
      <c r="D137" s="115">
        <v>0</v>
      </c>
    </row>
    <row r="138" spans="1:4" ht="12.75">
      <c r="A138" s="32" t="s">
        <v>752</v>
      </c>
      <c r="B138" s="33"/>
      <c r="C138" s="126"/>
      <c r="D138" s="116"/>
    </row>
    <row r="139" spans="1:4" ht="12.75">
      <c r="A139" s="3" t="s">
        <v>8</v>
      </c>
      <c r="B139" s="3"/>
      <c r="C139" s="127">
        <f>SUM(C106:C138)</f>
        <v>1489042</v>
      </c>
      <c r="D139" s="117">
        <f>SUM(D106:D138)</f>
        <v>2009073</v>
      </c>
    </row>
    <row r="140" spans="1:4" ht="12.75">
      <c r="A140" s="3"/>
      <c r="B140" s="3"/>
      <c r="C140" s="118"/>
      <c r="D140" s="118"/>
    </row>
    <row r="141" spans="1:4" ht="12.75">
      <c r="A141" s="3"/>
      <c r="B141" s="3"/>
      <c r="C141" s="118"/>
      <c r="D141" s="118"/>
    </row>
    <row r="142" spans="1:4" ht="12.75">
      <c r="A142" s="3"/>
      <c r="B142" s="3"/>
      <c r="C142" s="118"/>
      <c r="D142" s="118"/>
    </row>
    <row r="143" spans="1:4" ht="12.75">
      <c r="A143" s="3"/>
      <c r="B143" s="3"/>
      <c r="C143" s="118"/>
      <c r="D143" s="118"/>
    </row>
    <row r="144" spans="1:4" ht="12.75">
      <c r="A144" s="3"/>
      <c r="B144" s="3"/>
      <c r="C144" s="118"/>
      <c r="D144" s="118"/>
    </row>
    <row r="145" spans="1:4" ht="12.75">
      <c r="A145" s="3"/>
      <c r="B145" s="3"/>
      <c r="C145" s="118"/>
      <c r="D145" s="118"/>
    </row>
    <row r="146" spans="1:4" ht="12.75">
      <c r="A146" s="3"/>
      <c r="B146" s="3"/>
      <c r="C146" s="118"/>
      <c r="D146" s="118"/>
    </row>
    <row r="147" spans="1:4" ht="12.75">
      <c r="A147" s="3"/>
      <c r="B147" s="3"/>
      <c r="C147" s="118"/>
      <c r="D147" s="118"/>
    </row>
    <row r="148" spans="1:4" ht="12.75">
      <c r="A148" s="3"/>
      <c r="B148" s="3"/>
      <c r="C148" s="118"/>
      <c r="D148" s="118"/>
    </row>
    <row r="149" spans="1:4" ht="12.75">
      <c r="A149" s="3"/>
      <c r="B149" s="3"/>
      <c r="C149" s="118"/>
      <c r="D149" s="118"/>
    </row>
    <row r="150" spans="1:4" ht="12.75">
      <c r="A150" s="3"/>
      <c r="B150" s="3"/>
      <c r="C150" s="118"/>
      <c r="D150" s="118"/>
    </row>
    <row r="151" spans="1:4" ht="12.75">
      <c r="A151" s="3"/>
      <c r="B151" s="3"/>
      <c r="C151" s="118"/>
      <c r="D151" s="118"/>
    </row>
    <row r="152" spans="1:4" ht="15">
      <c r="A152" s="19" t="s">
        <v>833</v>
      </c>
      <c r="B152" s="19"/>
      <c r="C152" s="119"/>
      <c r="D152" s="120"/>
    </row>
    <row r="153" spans="1:4" ht="15">
      <c r="A153" s="20" t="s">
        <v>2</v>
      </c>
      <c r="B153" s="21"/>
      <c r="C153" s="121" t="s">
        <v>3</v>
      </c>
      <c r="D153" s="121" t="s">
        <v>3</v>
      </c>
    </row>
    <row r="154" spans="1:4" ht="12.75">
      <c r="A154" s="24"/>
      <c r="B154" s="25"/>
      <c r="C154" s="122" t="s">
        <v>4</v>
      </c>
      <c r="D154" s="123" t="s">
        <v>5</v>
      </c>
    </row>
    <row r="155" spans="1:4" ht="12.75">
      <c r="A155" s="106" t="s">
        <v>13</v>
      </c>
      <c r="B155" s="28"/>
      <c r="C155" s="124">
        <f>'RUF WORK FOR BS'!E190</f>
        <v>161695</v>
      </c>
      <c r="D155" s="114">
        <f>73219+53950</f>
        <v>127169</v>
      </c>
    </row>
    <row r="156" spans="1:4" ht="12.75">
      <c r="A156" s="107" t="s">
        <v>758</v>
      </c>
      <c r="B156" s="30"/>
      <c r="C156" s="125">
        <f>'RUF WORK FOR BS'!E191</f>
        <v>1550</v>
      </c>
      <c r="D156" s="115">
        <v>2625</v>
      </c>
    </row>
    <row r="157" spans="1:4" ht="12.75">
      <c r="A157" s="107" t="s">
        <v>14</v>
      </c>
      <c r="B157" s="30"/>
      <c r="C157" s="125">
        <f>'RUF WORK FOR BS'!E194</f>
        <v>84653</v>
      </c>
      <c r="D157" s="115">
        <f>71436+115694+45536</f>
        <v>232666</v>
      </c>
    </row>
    <row r="158" spans="1:4" ht="12.75">
      <c r="A158" s="107" t="s">
        <v>92</v>
      </c>
      <c r="B158" s="30"/>
      <c r="C158" s="125">
        <f>'RUF WORK FOR BS'!E195</f>
        <v>23574</v>
      </c>
      <c r="D158" s="115">
        <v>21522.9</v>
      </c>
    </row>
    <row r="159" spans="1:4" ht="12.75">
      <c r="A159" s="107" t="s">
        <v>91</v>
      </c>
      <c r="B159" s="30"/>
      <c r="C159" s="125">
        <f>'RUF WORK FOR BS'!E196</f>
        <v>2587</v>
      </c>
      <c r="D159" s="115">
        <v>0</v>
      </c>
    </row>
    <row r="160" spans="1:4" ht="12.75">
      <c r="A160" s="107" t="s">
        <v>16</v>
      </c>
      <c r="B160" s="30"/>
      <c r="C160" s="125">
        <f>'RUF WORK FOR BS'!E200</f>
        <v>500370</v>
      </c>
      <c r="D160" s="115">
        <f>245050+137042</f>
        <v>382092</v>
      </c>
    </row>
    <row r="161" spans="1:4" ht="12.75">
      <c r="A161" s="107" t="s">
        <v>15</v>
      </c>
      <c r="B161" s="30"/>
      <c r="C161" s="125">
        <f>SUM('RUF WORK FOR BS'!E198)</f>
        <v>27334</v>
      </c>
      <c r="D161" s="115">
        <v>0</v>
      </c>
    </row>
    <row r="162" spans="1:4" ht="12.75">
      <c r="A162" s="107" t="s">
        <v>17</v>
      </c>
      <c r="B162" s="30"/>
      <c r="C162" s="125">
        <f>'RUF WORK FOR BS'!E203</f>
        <v>2587918</v>
      </c>
      <c r="D162" s="115">
        <f>1102183.6+663349+211123</f>
        <v>1976655.6</v>
      </c>
    </row>
    <row r="163" spans="1:4" ht="12.75">
      <c r="A163" s="107" t="s">
        <v>18</v>
      </c>
      <c r="B163" s="30"/>
      <c r="C163" s="125">
        <f>'RUF WORK FOR BS'!E204</f>
        <v>149242</v>
      </c>
      <c r="D163" s="115">
        <v>97795</v>
      </c>
    </row>
    <row r="164" spans="1:4" ht="12.75">
      <c r="A164" s="107" t="s">
        <v>19</v>
      </c>
      <c r="B164" s="30"/>
      <c r="C164" s="125">
        <f>'RUF WORK FOR BS'!E206</f>
        <v>138581</v>
      </c>
      <c r="D164" s="115">
        <v>0</v>
      </c>
    </row>
    <row r="165" spans="1:4" ht="12.75">
      <c r="A165" s="107" t="s">
        <v>20</v>
      </c>
      <c r="B165" s="30"/>
      <c r="C165" s="125">
        <f>'RUF WORK FOR BS'!E211</f>
        <v>42338</v>
      </c>
      <c r="D165" s="115">
        <f>1237+22585+8212+378+41257</f>
        <v>73669</v>
      </c>
    </row>
    <row r="166" spans="1:4" ht="12.75">
      <c r="A166" s="107" t="s">
        <v>21</v>
      </c>
      <c r="B166" s="30"/>
      <c r="C166" s="125">
        <f>'RUF WORK FOR BS'!E212</f>
        <v>49876</v>
      </c>
      <c r="D166" s="115">
        <v>49106</v>
      </c>
    </row>
    <row r="167" spans="1:4" ht="12.75">
      <c r="A167" s="107" t="s">
        <v>759</v>
      </c>
      <c r="B167" s="30"/>
      <c r="C167" s="125">
        <f>'RUF WORK FOR BS'!E214</f>
        <v>1667</v>
      </c>
      <c r="D167" s="115">
        <v>0</v>
      </c>
    </row>
    <row r="168" spans="1:4" ht="12.75">
      <c r="A168" s="107" t="s">
        <v>760</v>
      </c>
      <c r="B168" s="30"/>
      <c r="C168" s="125">
        <f>'RUF WORK FOR BS'!E222</f>
        <v>35815</v>
      </c>
      <c r="D168" s="115">
        <v>35815</v>
      </c>
    </row>
    <row r="169" spans="1:4" ht="12.75">
      <c r="A169" s="107" t="s">
        <v>90</v>
      </c>
      <c r="B169" s="30"/>
      <c r="C169" s="125">
        <f>'RUF WORK FOR BS'!E223</f>
        <v>45935</v>
      </c>
      <c r="D169" s="115">
        <v>0</v>
      </c>
    </row>
    <row r="170" spans="1:4" ht="12.75">
      <c r="A170" s="107" t="s">
        <v>212</v>
      </c>
      <c r="B170" s="30"/>
      <c r="C170" s="125">
        <v>0</v>
      </c>
      <c r="D170" s="115">
        <v>300</v>
      </c>
    </row>
    <row r="171" spans="1:4" ht="12.75">
      <c r="A171" s="107" t="s">
        <v>93</v>
      </c>
      <c r="B171" s="30"/>
      <c r="C171" s="125">
        <v>0</v>
      </c>
      <c r="D171" s="115">
        <v>146</v>
      </c>
    </row>
    <row r="172" spans="1:4" ht="12.75">
      <c r="A172" s="107" t="s">
        <v>761</v>
      </c>
      <c r="B172" s="30"/>
      <c r="C172" s="125">
        <v>0</v>
      </c>
      <c r="D172" s="115">
        <v>331615.8</v>
      </c>
    </row>
    <row r="173" spans="1:4" ht="12.75">
      <c r="A173" s="107" t="s">
        <v>762</v>
      </c>
      <c r="B173" s="30"/>
      <c r="C173" s="125">
        <v>0</v>
      </c>
      <c r="D173" s="115">
        <v>6550</v>
      </c>
    </row>
    <row r="174" spans="1:4" ht="12.75">
      <c r="A174" s="32"/>
      <c r="B174" s="33"/>
      <c r="C174" s="126"/>
      <c r="D174" s="116"/>
    </row>
    <row r="175" spans="1:4" ht="12.75">
      <c r="A175" s="3" t="s">
        <v>8</v>
      </c>
      <c r="B175" s="3"/>
      <c r="C175" s="117">
        <f>SUM(C155:C174)</f>
        <v>3853135</v>
      </c>
      <c r="D175" s="117">
        <f>SUM(D155:D174)</f>
        <v>3337727.3</v>
      </c>
    </row>
    <row r="176" spans="1:4" ht="12.75">
      <c r="A176" s="3"/>
      <c r="B176" s="3"/>
      <c r="C176" s="118"/>
      <c r="D176" s="118"/>
    </row>
    <row r="177" spans="1:4" ht="12.75">
      <c r="A177" s="3"/>
      <c r="B177" s="3"/>
      <c r="C177" s="118"/>
      <c r="D177" s="118"/>
    </row>
    <row r="178" spans="1:4" ht="12.75">
      <c r="A178" s="3"/>
      <c r="B178" s="3"/>
      <c r="C178" s="118"/>
      <c r="D178" s="118"/>
    </row>
    <row r="179" spans="1:4" ht="15">
      <c r="A179" s="19" t="s">
        <v>834</v>
      </c>
      <c r="B179" s="19"/>
      <c r="C179" s="119"/>
      <c r="D179" s="120"/>
    </row>
    <row r="180" spans="1:4" ht="15">
      <c r="A180" s="20" t="s">
        <v>2</v>
      </c>
      <c r="B180" s="21"/>
      <c r="C180" s="121" t="s">
        <v>3</v>
      </c>
      <c r="D180" s="121" t="s">
        <v>3</v>
      </c>
    </row>
    <row r="181" spans="1:4" ht="12.75">
      <c r="A181" s="24"/>
      <c r="B181" s="25"/>
      <c r="C181" s="122" t="s">
        <v>4</v>
      </c>
      <c r="D181" s="123" t="s">
        <v>5</v>
      </c>
    </row>
    <row r="182" spans="1:4" ht="12.75">
      <c r="A182" s="110" t="s">
        <v>407</v>
      </c>
      <c r="B182" s="28"/>
      <c r="C182" s="124">
        <f>'RUF WORK FOR BS'!E243</f>
        <v>5000</v>
      </c>
      <c r="D182" s="114">
        <v>5000</v>
      </c>
    </row>
    <row r="183" spans="1:4" ht="12.75">
      <c r="A183" s="107" t="s">
        <v>42</v>
      </c>
      <c r="B183" s="30"/>
      <c r="C183" s="125">
        <f>'RUF WORK FOR BS'!E245</f>
        <v>237325</v>
      </c>
      <c r="D183" s="115">
        <f>177370+59955</f>
        <v>237325</v>
      </c>
    </row>
    <row r="184" spans="1:4" ht="12.75">
      <c r="A184" s="107" t="s">
        <v>43</v>
      </c>
      <c r="B184" s="30"/>
      <c r="C184" s="125">
        <f>'RUF WORK FOR BS'!E246</f>
        <v>2700</v>
      </c>
      <c r="D184" s="115">
        <v>2700</v>
      </c>
    </row>
    <row r="185" spans="1:4" ht="12.75">
      <c r="A185" s="111" t="s">
        <v>408</v>
      </c>
      <c r="B185" s="30"/>
      <c r="C185" s="125">
        <f>'RUF WORK FOR BS'!E247</f>
        <v>10000</v>
      </c>
      <c r="D185" s="115">
        <v>10000</v>
      </c>
    </row>
    <row r="186" spans="1:4" ht="12.75">
      <c r="A186" s="107" t="s">
        <v>763</v>
      </c>
      <c r="B186" s="30"/>
      <c r="C186" s="125">
        <f>'RUF WORK FOR BS'!E248</f>
        <v>35465</v>
      </c>
      <c r="D186" s="115">
        <v>35465</v>
      </c>
    </row>
    <row r="187" spans="1:4" ht="12.75">
      <c r="A187" s="107" t="s">
        <v>350</v>
      </c>
      <c r="B187" s="30"/>
      <c r="C187" s="125">
        <f>'RUF WORK FOR BS'!E250</f>
        <v>33500</v>
      </c>
      <c r="D187" s="115">
        <f>27000+6500</f>
        <v>33500</v>
      </c>
    </row>
    <row r="188" spans="1:4" ht="12.75">
      <c r="A188" s="111" t="s">
        <v>466</v>
      </c>
      <c r="B188" s="30"/>
      <c r="C188" s="125">
        <f>'RUF WORK FOR BS'!E254</f>
        <v>149150</v>
      </c>
      <c r="D188" s="115">
        <f>109150+17000+29000</f>
        <v>155150</v>
      </c>
    </row>
    <row r="189" spans="1:4" ht="12.75">
      <c r="A189" s="107" t="s">
        <v>45</v>
      </c>
      <c r="B189" s="30"/>
      <c r="C189" s="125">
        <f>'RUF WORK FOR BS'!E255</f>
        <v>1425</v>
      </c>
      <c r="D189" s="115">
        <v>1425</v>
      </c>
    </row>
    <row r="190" spans="1:4" ht="12.75">
      <c r="A190" s="32"/>
      <c r="B190" s="33"/>
      <c r="C190" s="126"/>
      <c r="D190" s="116"/>
    </row>
    <row r="191" spans="1:4" ht="12.75">
      <c r="A191" s="3" t="s">
        <v>8</v>
      </c>
      <c r="B191" s="3"/>
      <c r="C191" s="117">
        <f>SUM(C182:C190)</f>
        <v>474565</v>
      </c>
      <c r="D191" s="117">
        <f>SUM(D182:D190)</f>
        <v>480565</v>
      </c>
    </row>
    <row r="192" spans="1:4" ht="12.75">
      <c r="A192" s="3"/>
      <c r="B192" s="3"/>
      <c r="C192" s="118"/>
      <c r="D192" s="118"/>
    </row>
    <row r="193" spans="1:4" ht="12.75">
      <c r="A193" s="3"/>
      <c r="B193" s="3"/>
      <c r="C193" s="118"/>
      <c r="D193" s="118"/>
    </row>
    <row r="194" spans="1:4" ht="12.75">
      <c r="A194" s="3"/>
      <c r="B194" s="3"/>
      <c r="C194" s="118"/>
      <c r="D194" s="118"/>
    </row>
    <row r="195" spans="1:4" ht="12.75">
      <c r="A195" s="3"/>
      <c r="B195" s="3"/>
      <c r="C195" s="118"/>
      <c r="D195" s="118"/>
    </row>
    <row r="196" spans="1:4" ht="12.75">
      <c r="A196" s="3"/>
      <c r="B196" s="3"/>
      <c r="C196" s="118"/>
      <c r="D196" s="118"/>
    </row>
    <row r="197" spans="1:4" ht="12.75">
      <c r="A197" s="3"/>
      <c r="B197" s="3"/>
      <c r="C197" s="118"/>
      <c r="D197" s="118"/>
    </row>
    <row r="198" spans="1:4" ht="12.75">
      <c r="A198" s="3"/>
      <c r="B198" s="3"/>
      <c r="C198" s="118"/>
      <c r="D198" s="118"/>
    </row>
    <row r="199" spans="1:4" ht="12.75">
      <c r="A199" s="3"/>
      <c r="B199" s="3"/>
      <c r="C199" s="118"/>
      <c r="D199" s="118"/>
    </row>
    <row r="200" spans="1:4" ht="12.75">
      <c r="A200" s="3"/>
      <c r="B200" s="3"/>
      <c r="C200" s="118"/>
      <c r="D200" s="118"/>
    </row>
    <row r="201" spans="1:4" ht="15">
      <c r="A201" s="19" t="s">
        <v>835</v>
      </c>
      <c r="B201" s="19"/>
      <c r="C201" s="119"/>
      <c r="D201" s="120"/>
    </row>
    <row r="202" spans="1:4" ht="15">
      <c r="A202" s="20" t="s">
        <v>2</v>
      </c>
      <c r="B202" s="21"/>
      <c r="C202" s="121" t="s">
        <v>3</v>
      </c>
      <c r="D202" s="121" t="s">
        <v>3</v>
      </c>
    </row>
    <row r="203" spans="1:4" ht="12.75">
      <c r="A203" s="24"/>
      <c r="B203" s="25"/>
      <c r="C203" s="122" t="s">
        <v>4</v>
      </c>
      <c r="D203" s="123" t="s">
        <v>5</v>
      </c>
    </row>
    <row r="204" spans="1:4" ht="12.75">
      <c r="A204" s="110"/>
      <c r="B204" s="112"/>
      <c r="C204" s="128"/>
      <c r="D204" s="128"/>
    </row>
    <row r="205" spans="1:4" ht="12.75">
      <c r="A205" s="147" t="s">
        <v>864</v>
      </c>
      <c r="B205" s="67"/>
      <c r="C205" s="129"/>
      <c r="D205" s="129"/>
    </row>
    <row r="206" spans="1:4" ht="12.75">
      <c r="A206" s="111" t="s">
        <v>770</v>
      </c>
      <c r="B206" s="67"/>
      <c r="C206" s="129">
        <v>0</v>
      </c>
      <c r="D206" s="129">
        <v>2500</v>
      </c>
    </row>
    <row r="207" spans="1:4" ht="12.75">
      <c r="A207" s="107" t="s">
        <v>62</v>
      </c>
      <c r="B207" s="67"/>
      <c r="C207" s="129">
        <f>'RUF WORK FOR BS'!D261</f>
        <v>3000</v>
      </c>
      <c r="D207" s="129">
        <v>15000</v>
      </c>
    </row>
    <row r="208" spans="1:4" ht="12.75">
      <c r="A208" s="107" t="s">
        <v>858</v>
      </c>
      <c r="B208" s="113"/>
      <c r="C208" s="129">
        <f>'RUF WORK FOR BS'!D262</f>
        <v>3000</v>
      </c>
      <c r="D208" s="129">
        <v>0</v>
      </c>
    </row>
    <row r="209" spans="1:4" ht="12.75">
      <c r="A209" s="107" t="s">
        <v>781</v>
      </c>
      <c r="B209" s="113"/>
      <c r="C209" s="129">
        <v>0</v>
      </c>
      <c r="D209" s="129">
        <v>1500</v>
      </c>
    </row>
    <row r="210" spans="1:4" ht="12.75">
      <c r="A210" s="107" t="s">
        <v>863</v>
      </c>
      <c r="B210" s="67"/>
      <c r="C210" s="129">
        <f>'RUF WORK FOR BS'!D264</f>
        <v>66206</v>
      </c>
      <c r="D210" s="129">
        <v>106191</v>
      </c>
    </row>
    <row r="211" spans="1:4" ht="12.75">
      <c r="A211" s="111" t="s">
        <v>404</v>
      </c>
      <c r="B211" s="67"/>
      <c r="C211" s="129">
        <f>'RUF WORK FOR BS'!D266</f>
        <v>31000</v>
      </c>
      <c r="D211" s="129">
        <v>8000</v>
      </c>
    </row>
    <row r="212" spans="1:4" ht="12.75">
      <c r="A212" s="107" t="s">
        <v>782</v>
      </c>
      <c r="B212" s="113"/>
      <c r="C212" s="129">
        <v>0</v>
      </c>
      <c r="D212" s="129">
        <v>18600</v>
      </c>
    </row>
    <row r="213" spans="1:4" ht="12.75">
      <c r="A213" s="107" t="s">
        <v>777</v>
      </c>
      <c r="B213" s="113"/>
      <c r="C213" s="129">
        <v>0</v>
      </c>
      <c r="D213" s="129">
        <v>7000</v>
      </c>
    </row>
    <row r="214" spans="1:4" ht="12.75">
      <c r="A214" s="107" t="s">
        <v>364</v>
      </c>
      <c r="B214" s="67"/>
      <c r="C214" s="129">
        <f>'RUF WORK FOR BS'!D267</f>
        <v>37700</v>
      </c>
      <c r="D214" s="129">
        <v>13200</v>
      </c>
    </row>
    <row r="215" spans="1:4" ht="12.75">
      <c r="A215" s="107" t="s">
        <v>779</v>
      </c>
      <c r="B215" s="113"/>
      <c r="C215" s="129">
        <v>0</v>
      </c>
      <c r="D215" s="129">
        <v>4000</v>
      </c>
    </row>
    <row r="216" spans="1:4" ht="12.75">
      <c r="A216" s="107" t="s">
        <v>365</v>
      </c>
      <c r="B216" s="67"/>
      <c r="C216" s="129">
        <f>'RUF WORK FOR BS'!D268</f>
        <v>500</v>
      </c>
      <c r="D216" s="129">
        <v>0</v>
      </c>
    </row>
    <row r="217" spans="1:4" ht="12.75">
      <c r="A217" s="107" t="s">
        <v>859</v>
      </c>
      <c r="B217" s="113"/>
      <c r="C217" s="129">
        <f>'RUF WORK FOR BS'!D272</f>
        <v>2500</v>
      </c>
      <c r="D217" s="129">
        <v>0</v>
      </c>
    </row>
    <row r="218" spans="1:4" ht="12.75">
      <c r="A218" s="107" t="s">
        <v>855</v>
      </c>
      <c r="B218" s="67"/>
      <c r="C218" s="129">
        <f>'RUF WORK FOR BS'!D273</f>
        <v>1400</v>
      </c>
      <c r="D218" s="129">
        <v>0</v>
      </c>
    </row>
    <row r="219" spans="1:4" ht="12.75">
      <c r="A219" s="107" t="s">
        <v>366</v>
      </c>
      <c r="B219" s="67"/>
      <c r="C219" s="129">
        <f>'RUF WORK FOR BS'!D275</f>
        <v>44000</v>
      </c>
      <c r="D219" s="129">
        <v>0</v>
      </c>
    </row>
    <row r="220" spans="1:4" ht="12.75">
      <c r="A220" s="107" t="s">
        <v>783</v>
      </c>
      <c r="B220" s="113"/>
      <c r="C220" s="129">
        <v>0</v>
      </c>
      <c r="D220" s="129">
        <v>5000</v>
      </c>
    </row>
    <row r="221" spans="1:4" ht="12.75">
      <c r="A221" s="107" t="s">
        <v>784</v>
      </c>
      <c r="B221" s="113"/>
      <c r="C221" s="129">
        <f>'RUF WORK FOR BS'!D276</f>
        <v>106000</v>
      </c>
      <c r="D221" s="129">
        <v>80000</v>
      </c>
    </row>
    <row r="222" spans="1:4" ht="12.75">
      <c r="A222" s="107" t="s">
        <v>367</v>
      </c>
      <c r="B222" s="67"/>
      <c r="C222" s="129">
        <f>'RUF WORK FOR BS'!D277</f>
        <v>6000</v>
      </c>
      <c r="D222" s="129">
        <v>0</v>
      </c>
    </row>
    <row r="223" spans="1:4" ht="12.75">
      <c r="A223" s="107" t="s">
        <v>860</v>
      </c>
      <c r="B223" s="113"/>
      <c r="C223" s="129">
        <f>'RUF WORK FOR BS'!D278</f>
        <v>3000</v>
      </c>
      <c r="D223" s="129">
        <v>0</v>
      </c>
    </row>
    <row r="224" spans="1:4" ht="12.75">
      <c r="A224" s="107" t="s">
        <v>780</v>
      </c>
      <c r="B224" s="113"/>
      <c r="C224" s="129">
        <v>0</v>
      </c>
      <c r="D224" s="129">
        <v>7000</v>
      </c>
    </row>
    <row r="225" spans="1:4" ht="12.75">
      <c r="A225" s="107" t="s">
        <v>66</v>
      </c>
      <c r="B225" s="67"/>
      <c r="C225" s="129">
        <f>'RUF WORK FOR BS'!D280</f>
        <v>1500</v>
      </c>
      <c r="D225" s="129">
        <v>0</v>
      </c>
    </row>
    <row r="226" spans="1:4" ht="12.75">
      <c r="A226" s="107" t="s">
        <v>67</v>
      </c>
      <c r="B226" s="67"/>
      <c r="C226" s="129">
        <f>'RUF WORK FOR BS'!D281</f>
        <v>52000</v>
      </c>
      <c r="D226" s="129">
        <v>64000</v>
      </c>
    </row>
    <row r="227" spans="1:4" ht="12.75">
      <c r="A227" s="107" t="s">
        <v>368</v>
      </c>
      <c r="B227" s="67"/>
      <c r="C227" s="129">
        <f>'RUF WORK FOR BS'!D282</f>
        <v>133000</v>
      </c>
      <c r="D227" s="129">
        <v>0</v>
      </c>
    </row>
    <row r="228" spans="1:4" ht="12.75">
      <c r="A228" s="111" t="s">
        <v>856</v>
      </c>
      <c r="B228" s="67"/>
      <c r="C228" s="129">
        <f>'RUF WORK FOR BS'!D285</f>
        <v>9000</v>
      </c>
      <c r="D228" s="129"/>
    </row>
    <row r="229" spans="1:4" ht="12.75">
      <c r="A229" s="107" t="s">
        <v>789</v>
      </c>
      <c r="B229" s="113"/>
      <c r="C229" s="129">
        <v>0</v>
      </c>
      <c r="D229" s="129">
        <v>1378</v>
      </c>
    </row>
    <row r="230" spans="1:4" ht="12.75">
      <c r="A230" s="107" t="s">
        <v>785</v>
      </c>
      <c r="B230" s="113"/>
      <c r="C230" s="129">
        <f>'RUF WORK FOR BS'!D286</f>
        <v>13000</v>
      </c>
      <c r="D230" s="129">
        <v>7000</v>
      </c>
    </row>
    <row r="231" spans="1:4" ht="12.75">
      <c r="A231" s="107" t="s">
        <v>370</v>
      </c>
      <c r="B231" s="67"/>
      <c r="C231" s="129">
        <f>'RUF WORK FOR BS'!D287</f>
        <v>412</v>
      </c>
      <c r="D231" s="129">
        <v>0</v>
      </c>
    </row>
    <row r="232" spans="1:4" ht="12.75">
      <c r="A232" s="107" t="s">
        <v>371</v>
      </c>
      <c r="B232" s="67"/>
      <c r="C232" s="129">
        <f>'RUF WORK FOR BS'!D288</f>
        <v>243941</v>
      </c>
      <c r="D232" s="129">
        <v>0</v>
      </c>
    </row>
    <row r="233" spans="1:4" ht="12.75">
      <c r="A233" s="107" t="s">
        <v>861</v>
      </c>
      <c r="B233" s="113"/>
      <c r="C233" s="129">
        <f>'RUF WORK FOR BS'!D290</f>
        <v>40000</v>
      </c>
      <c r="D233" s="129">
        <v>0</v>
      </c>
    </row>
    <row r="234" spans="1:4" ht="12.75">
      <c r="A234" s="107" t="s">
        <v>787</v>
      </c>
      <c r="B234" s="113"/>
      <c r="C234" s="129">
        <v>0</v>
      </c>
      <c r="D234" s="129">
        <f>740000+425000</f>
        <v>1165000</v>
      </c>
    </row>
    <row r="235" spans="1:4" ht="12.75">
      <c r="A235" s="107" t="s">
        <v>788</v>
      </c>
      <c r="B235" s="113"/>
      <c r="C235" s="129">
        <v>0</v>
      </c>
      <c r="D235" s="129">
        <v>2500</v>
      </c>
    </row>
    <row r="236" spans="1:4" ht="12.75">
      <c r="A236" s="107" t="s">
        <v>790</v>
      </c>
      <c r="B236" s="113"/>
      <c r="C236" s="129">
        <v>0</v>
      </c>
      <c r="D236" s="129">
        <v>1000</v>
      </c>
    </row>
    <row r="237" spans="1:4" ht="12.75">
      <c r="A237" s="111" t="s">
        <v>278</v>
      </c>
      <c r="B237" s="67"/>
      <c r="C237" s="129">
        <v>0</v>
      </c>
      <c r="D237" s="129">
        <f>481891+200700</f>
        <v>682591</v>
      </c>
    </row>
    <row r="238" spans="1:4" ht="12.75">
      <c r="A238" s="107" t="s">
        <v>778</v>
      </c>
      <c r="B238" s="113"/>
      <c r="C238" s="129">
        <v>0</v>
      </c>
      <c r="D238" s="129">
        <v>2000</v>
      </c>
    </row>
    <row r="239" spans="1:4" ht="12.75">
      <c r="A239" s="107" t="s">
        <v>862</v>
      </c>
      <c r="B239" s="113"/>
      <c r="C239" s="129">
        <f>'RUF WORK FOR BS'!D291</f>
        <v>1500</v>
      </c>
      <c r="D239" s="129">
        <v>0</v>
      </c>
    </row>
    <row r="240" spans="1:4" ht="12.75">
      <c r="A240" s="107" t="s">
        <v>69</v>
      </c>
      <c r="B240" s="67"/>
      <c r="C240" s="129">
        <f>'RUF WORK FOR BS'!D297</f>
        <v>10000</v>
      </c>
      <c r="D240" s="129">
        <v>18000</v>
      </c>
    </row>
    <row r="241" spans="1:4" ht="12.75">
      <c r="A241" s="107"/>
      <c r="B241" s="113"/>
      <c r="C241" s="129"/>
      <c r="D241" s="129"/>
    </row>
    <row r="242" spans="1:4" ht="12.75">
      <c r="A242" s="147" t="s">
        <v>865</v>
      </c>
      <c r="B242" s="67"/>
      <c r="C242" s="129"/>
      <c r="D242" s="129"/>
    </row>
    <row r="243" spans="1:4" ht="12.75">
      <c r="A243" s="107" t="s">
        <v>771</v>
      </c>
      <c r="B243" s="113"/>
      <c r="C243" s="129">
        <v>0</v>
      </c>
      <c r="D243" s="129">
        <f>3834+7200</f>
        <v>11034</v>
      </c>
    </row>
    <row r="244" spans="1:4" ht="12.75">
      <c r="A244" s="111" t="s">
        <v>423</v>
      </c>
      <c r="B244" s="67"/>
      <c r="C244" s="129">
        <f>'RUF WORK FOR BS'!D269</f>
        <v>12655</v>
      </c>
      <c r="D244" s="129">
        <v>0</v>
      </c>
    </row>
    <row r="245" spans="1:4" ht="12.75">
      <c r="A245" s="107" t="s">
        <v>64</v>
      </c>
      <c r="B245" s="67"/>
      <c r="C245" s="129">
        <f>'RUF WORK FOR BS'!D271</f>
        <v>500</v>
      </c>
      <c r="D245" s="129">
        <v>0</v>
      </c>
    </row>
    <row r="246" spans="1:4" ht="12.75">
      <c r="A246" s="111" t="s">
        <v>426</v>
      </c>
      <c r="B246" s="67"/>
      <c r="C246" s="129">
        <f>'RUF WORK FOR BS'!D279</f>
        <v>1500</v>
      </c>
      <c r="D246" s="129">
        <v>0</v>
      </c>
    </row>
    <row r="247" spans="1:4" ht="12.75">
      <c r="A247" s="107" t="s">
        <v>369</v>
      </c>
      <c r="B247" s="67"/>
      <c r="C247" s="129">
        <f>'RUF WORK FOR BS'!D283</f>
        <v>4942</v>
      </c>
      <c r="D247" s="129">
        <v>1337</v>
      </c>
    </row>
    <row r="248" spans="1:4" ht="12.75">
      <c r="A248" s="149" t="s">
        <v>405</v>
      </c>
      <c r="B248" s="150"/>
      <c r="C248" s="135">
        <f>'RUF WORK FOR BS'!D289</f>
        <v>1000</v>
      </c>
      <c r="D248" s="135">
        <v>0</v>
      </c>
    </row>
    <row r="249" spans="1:4" ht="12.75">
      <c r="A249" s="136" t="s">
        <v>868</v>
      </c>
      <c r="B249" s="2"/>
      <c r="C249" s="117">
        <f>SUM(C205:C248)</f>
        <v>829256</v>
      </c>
      <c r="D249" s="117">
        <f>SUM(D205:D248)</f>
        <v>2223831</v>
      </c>
    </row>
    <row r="250" spans="1:4" ht="12.75">
      <c r="A250" s="16"/>
      <c r="B250" s="2"/>
      <c r="C250" s="148"/>
      <c r="D250" s="148"/>
    </row>
    <row r="251" spans="1:4" ht="12.75">
      <c r="A251" s="136" t="s">
        <v>869</v>
      </c>
      <c r="B251" s="2"/>
      <c r="C251" s="145">
        <f>C249</f>
        <v>829256</v>
      </c>
      <c r="D251" s="145">
        <f>D249</f>
        <v>2223831</v>
      </c>
    </row>
    <row r="252" spans="1:4" ht="12.75">
      <c r="A252" s="106" t="s">
        <v>774</v>
      </c>
      <c r="B252" s="146"/>
      <c r="C252" s="151">
        <v>0</v>
      </c>
      <c r="D252" s="151">
        <v>56</v>
      </c>
    </row>
    <row r="253" spans="1:4" ht="12.75">
      <c r="A253" s="111" t="s">
        <v>406</v>
      </c>
      <c r="B253" s="67"/>
      <c r="C253" s="132">
        <f>'RUF WORK FOR BS'!D299</f>
        <v>748</v>
      </c>
      <c r="D253" s="132">
        <v>0</v>
      </c>
    </row>
    <row r="254" spans="1:4" ht="12.75">
      <c r="A254" s="107"/>
      <c r="B254" s="67"/>
      <c r="C254" s="132"/>
      <c r="D254" s="132"/>
    </row>
    <row r="255" spans="1:4" ht="12.75">
      <c r="A255" s="147" t="s">
        <v>866</v>
      </c>
      <c r="B255" s="67"/>
      <c r="C255" s="132"/>
      <c r="D255" s="132"/>
    </row>
    <row r="256" spans="1:4" ht="12.75">
      <c r="A256" s="111" t="s">
        <v>419</v>
      </c>
      <c r="B256" s="67"/>
      <c r="C256" s="132">
        <f>'RUF WORK FOR BS'!D259</f>
        <v>400000</v>
      </c>
      <c r="D256" s="132">
        <v>0</v>
      </c>
    </row>
    <row r="257" spans="1:4" ht="12.75">
      <c r="A257" s="107" t="s">
        <v>791</v>
      </c>
      <c r="B257" s="113"/>
      <c r="C257" s="132">
        <v>0</v>
      </c>
      <c r="D257" s="132">
        <v>4200</v>
      </c>
    </row>
    <row r="258" spans="1:4" ht="12.75">
      <c r="A258" s="111" t="s">
        <v>420</v>
      </c>
      <c r="B258" s="67"/>
      <c r="C258" s="132">
        <f>'RUF WORK FOR BS'!D260</f>
        <v>42500</v>
      </c>
      <c r="D258" s="132">
        <v>0</v>
      </c>
    </row>
    <row r="259" spans="1:4" ht="12.75">
      <c r="A259" s="107" t="s">
        <v>792</v>
      </c>
      <c r="B259" s="113"/>
      <c r="C259" s="132">
        <v>0</v>
      </c>
      <c r="D259" s="132">
        <v>910468</v>
      </c>
    </row>
    <row r="260" spans="1:4" ht="12.75">
      <c r="A260" s="107" t="s">
        <v>793</v>
      </c>
      <c r="B260" s="113"/>
      <c r="C260" s="132">
        <v>0</v>
      </c>
      <c r="D260" s="132">
        <v>520000</v>
      </c>
    </row>
    <row r="261" spans="1:4" ht="12.75">
      <c r="A261" s="107" t="s">
        <v>769</v>
      </c>
      <c r="B261" s="113"/>
      <c r="C261" s="132">
        <f>'RUF WORK FOR BS'!E303</f>
        <v>4500</v>
      </c>
      <c r="D261" s="132">
        <v>0</v>
      </c>
    </row>
    <row r="262" spans="1:4" ht="12.75">
      <c r="A262" s="111" t="s">
        <v>422</v>
      </c>
      <c r="B262" s="67"/>
      <c r="C262" s="132">
        <f>'RUF WORK FOR BS'!D265</f>
        <v>192250</v>
      </c>
      <c r="D262" s="132">
        <v>0</v>
      </c>
    </row>
    <row r="263" spans="1:4" ht="12.75">
      <c r="A263" s="107" t="s">
        <v>772</v>
      </c>
      <c r="B263" s="113"/>
      <c r="C263" s="132">
        <v>0</v>
      </c>
      <c r="D263" s="132">
        <v>18500</v>
      </c>
    </row>
    <row r="264" spans="1:4" ht="12.75">
      <c r="A264" s="111" t="s">
        <v>424</v>
      </c>
      <c r="B264" s="67"/>
      <c r="C264" s="132">
        <f>'RUF WORK FOR BS'!D270</f>
        <v>100000</v>
      </c>
      <c r="D264" s="132">
        <v>0</v>
      </c>
    </row>
    <row r="265" spans="1:4" ht="12.75">
      <c r="A265" s="107" t="s">
        <v>318</v>
      </c>
      <c r="B265" s="113"/>
      <c r="C265" s="132">
        <v>0</v>
      </c>
      <c r="D265" s="132">
        <v>600000</v>
      </c>
    </row>
    <row r="266" spans="1:4" ht="12.75">
      <c r="A266" s="107" t="s">
        <v>786</v>
      </c>
      <c r="B266" s="113"/>
      <c r="C266" s="132">
        <v>0</v>
      </c>
      <c r="D266" s="132">
        <v>3500</v>
      </c>
    </row>
    <row r="267" spans="1:4" ht="12.75">
      <c r="A267" s="111" t="s">
        <v>372</v>
      </c>
      <c r="B267" s="67"/>
      <c r="C267" s="132">
        <f>'RUF WORK FOR BS'!D298</f>
        <v>50000</v>
      </c>
      <c r="D267" s="132">
        <v>0</v>
      </c>
    </row>
    <row r="268" spans="1:4" ht="12.75">
      <c r="A268" s="107"/>
      <c r="B268" s="113"/>
      <c r="C268" s="132"/>
      <c r="D268" s="132"/>
    </row>
    <row r="269" spans="1:4" ht="12.75">
      <c r="A269" s="147" t="s">
        <v>867</v>
      </c>
      <c r="B269" s="67"/>
      <c r="C269" s="132"/>
      <c r="D269" s="132"/>
    </row>
    <row r="270" spans="1:4" ht="12.75">
      <c r="A270" s="107" t="s">
        <v>765</v>
      </c>
      <c r="B270" s="113"/>
      <c r="C270" s="132">
        <f>'RUF WORK FOR BS'!E302</f>
        <v>43645</v>
      </c>
      <c r="D270" s="132">
        <f>46420+2205</f>
        <v>48625</v>
      </c>
    </row>
    <row r="271" spans="1:4" ht="12.75">
      <c r="A271" s="111" t="s">
        <v>421</v>
      </c>
      <c r="B271" s="67"/>
      <c r="C271" s="132">
        <f>'RUF WORK FOR BS'!D263</f>
        <v>658</v>
      </c>
      <c r="D271" s="132">
        <v>0</v>
      </c>
    </row>
    <row r="272" spans="1:4" ht="12.75">
      <c r="A272" s="111" t="s">
        <v>854</v>
      </c>
      <c r="B272" s="67"/>
      <c r="C272" s="132">
        <v>0</v>
      </c>
      <c r="D272" s="132">
        <v>18340</v>
      </c>
    </row>
    <row r="273" spans="1:4" ht="12.75">
      <c r="A273" s="107" t="s">
        <v>794</v>
      </c>
      <c r="B273" s="113"/>
      <c r="C273" s="132">
        <v>0</v>
      </c>
      <c r="D273" s="132">
        <v>4050</v>
      </c>
    </row>
    <row r="274" spans="1:4" ht="12.75">
      <c r="A274" s="111" t="s">
        <v>425</v>
      </c>
      <c r="B274" s="67"/>
      <c r="C274" s="132">
        <f>'RUF WORK FOR BS'!D274</f>
        <v>385</v>
      </c>
      <c r="D274" s="132">
        <v>0</v>
      </c>
    </row>
    <row r="275" spans="1:4" ht="12.75">
      <c r="A275" s="111" t="s">
        <v>98</v>
      </c>
      <c r="B275" s="67"/>
      <c r="C275" s="132">
        <f>'RUF WORK FOR BS'!D284</f>
        <v>1000</v>
      </c>
      <c r="D275" s="132">
        <v>0</v>
      </c>
    </row>
    <row r="276" spans="1:4" ht="12.75">
      <c r="A276" s="107" t="s">
        <v>773</v>
      </c>
      <c r="B276" s="113"/>
      <c r="C276" s="132">
        <v>0</v>
      </c>
      <c r="D276" s="132">
        <v>9800</v>
      </c>
    </row>
    <row r="277" spans="1:4" ht="12.75">
      <c r="A277" s="111" t="s">
        <v>157</v>
      </c>
      <c r="B277" s="67"/>
      <c r="C277" s="132">
        <v>0</v>
      </c>
      <c r="D277" s="132">
        <v>19199</v>
      </c>
    </row>
    <row r="278" spans="1:4" ht="12.75">
      <c r="A278" s="107" t="s">
        <v>775</v>
      </c>
      <c r="B278" s="113"/>
      <c r="C278" s="132">
        <v>0</v>
      </c>
      <c r="D278" s="132">
        <v>357</v>
      </c>
    </row>
    <row r="279" spans="1:4" ht="12.75">
      <c r="A279" s="111" t="s">
        <v>68</v>
      </c>
      <c r="B279" s="67"/>
      <c r="C279" s="132">
        <f>SUM('RUF WORK FOR BS'!D292:D296)</f>
        <v>2669</v>
      </c>
      <c r="D279" s="132">
        <v>0</v>
      </c>
    </row>
    <row r="280" spans="1:4" ht="12.75">
      <c r="A280" s="107" t="s">
        <v>776</v>
      </c>
      <c r="B280" s="113"/>
      <c r="C280" s="132">
        <v>0</v>
      </c>
      <c r="D280" s="132">
        <v>5000</v>
      </c>
    </row>
    <row r="281" spans="1:4" ht="12.75">
      <c r="A281" s="32"/>
      <c r="B281" s="33"/>
      <c r="C281" s="116"/>
      <c r="D281" s="116"/>
    </row>
    <row r="282" spans="1:4" ht="12.75">
      <c r="A282" s="3" t="s">
        <v>8</v>
      </c>
      <c r="B282" s="3"/>
      <c r="C282" s="127">
        <f>SUM(C251:C281)</f>
        <v>1667611</v>
      </c>
      <c r="D282" s="127">
        <f>SUM(D251:D281)</f>
        <v>4385926</v>
      </c>
    </row>
    <row r="283" spans="1:4" ht="12.75">
      <c r="A283" s="3"/>
      <c r="B283" s="3"/>
      <c r="C283" s="118"/>
      <c r="D283" s="118"/>
    </row>
    <row r="284" spans="1:4" ht="12.75">
      <c r="A284" s="3"/>
      <c r="B284" s="3"/>
      <c r="C284" s="118"/>
      <c r="D284" s="118"/>
    </row>
    <row r="285" spans="1:5" s="17" customFormat="1" ht="15">
      <c r="A285" s="19" t="s">
        <v>836</v>
      </c>
      <c r="B285" s="19"/>
      <c r="C285" s="119"/>
      <c r="D285" s="130"/>
      <c r="E285" s="5"/>
    </row>
    <row r="286" spans="1:5" s="17" customFormat="1" ht="15">
      <c r="A286" s="20" t="s">
        <v>2</v>
      </c>
      <c r="B286" s="21"/>
      <c r="C286" s="121" t="s">
        <v>3</v>
      </c>
      <c r="D286" s="121" t="s">
        <v>3</v>
      </c>
      <c r="E286" s="5"/>
    </row>
    <row r="287" spans="1:5" s="17" customFormat="1" ht="12.75">
      <c r="A287" s="24"/>
      <c r="B287" s="25"/>
      <c r="C287" s="123" t="s">
        <v>4</v>
      </c>
      <c r="D287" s="123" t="s">
        <v>5</v>
      </c>
      <c r="E287" s="5"/>
    </row>
    <row r="288" spans="1:5" s="17" customFormat="1" ht="12.75">
      <c r="A288" s="106" t="s">
        <v>352</v>
      </c>
      <c r="B288" s="28"/>
      <c r="C288" s="115">
        <f>'RUF WORK FOR BS'!E318</f>
        <v>71124</v>
      </c>
      <c r="D288" s="115">
        <f>373+36795+10595+10418+14099</f>
        <v>72280</v>
      </c>
      <c r="E288" s="5"/>
    </row>
    <row r="289" spans="1:5" s="17" customFormat="1" ht="12.75">
      <c r="A289" s="107" t="s">
        <v>58</v>
      </c>
      <c r="B289" s="30"/>
      <c r="C289" s="115">
        <f>'RUF WORK FOR BS'!E323</f>
        <v>457953</v>
      </c>
      <c r="D289" s="115">
        <f>23294+173068+28901+7295+25201</f>
        <v>257759</v>
      </c>
      <c r="E289" s="5"/>
    </row>
    <row r="290" spans="1:5" s="17" customFormat="1" ht="12.75">
      <c r="A290" s="107" t="s">
        <v>353</v>
      </c>
      <c r="B290" s="30"/>
      <c r="C290" s="115">
        <f>'RUF WORK FOR BS'!E325</f>
        <v>257500</v>
      </c>
      <c r="D290" s="115">
        <v>235000</v>
      </c>
      <c r="E290" s="5"/>
    </row>
    <row r="291" spans="1:5" s="17" customFormat="1" ht="12.75">
      <c r="A291" s="107" t="s">
        <v>59</v>
      </c>
      <c r="B291" s="30"/>
      <c r="C291" s="115">
        <f>'RUF WORK FOR BS'!E326</f>
        <v>41329</v>
      </c>
      <c r="D291" s="115">
        <v>29673</v>
      </c>
      <c r="E291" s="5"/>
    </row>
    <row r="292" spans="1:5" s="17" customFormat="1" ht="12.75">
      <c r="A292" s="107" t="s">
        <v>60</v>
      </c>
      <c r="B292" s="30"/>
      <c r="C292" s="115">
        <f>'RUF WORK FOR BS'!E329</f>
        <v>66690</v>
      </c>
      <c r="D292" s="115">
        <f>7013+20206+28335</f>
        <v>55554</v>
      </c>
      <c r="E292" s="5"/>
    </row>
    <row r="293" spans="1:5" s="17" customFormat="1" ht="12.75">
      <c r="A293" s="107" t="s">
        <v>61</v>
      </c>
      <c r="B293" s="30"/>
      <c r="C293" s="115">
        <f>'RUF WORK FOR BS'!E330</f>
        <v>39297</v>
      </c>
      <c r="D293" s="115"/>
      <c r="E293" s="5"/>
    </row>
    <row r="294" spans="1:5" s="17" customFormat="1" ht="12.75">
      <c r="A294" s="107" t="s">
        <v>276</v>
      </c>
      <c r="B294" s="30"/>
      <c r="C294" s="115">
        <f>'RUF WORK FOR BS'!E331</f>
        <v>27150</v>
      </c>
      <c r="D294" s="115">
        <v>28775</v>
      </c>
      <c r="E294" s="5"/>
    </row>
    <row r="295" spans="1:5" s="17" customFormat="1" ht="12.75">
      <c r="A295" s="32"/>
      <c r="B295" s="33"/>
      <c r="C295" s="116"/>
      <c r="D295" s="116"/>
      <c r="E295" s="5"/>
    </row>
    <row r="296" spans="1:5" s="17" customFormat="1" ht="12.75">
      <c r="A296" s="3" t="s">
        <v>8</v>
      </c>
      <c r="B296" s="3"/>
      <c r="C296" s="117">
        <f>SUM(C288:C295)</f>
        <v>961043</v>
      </c>
      <c r="D296" s="117">
        <f>SUM(D288:D295)</f>
        <v>679041</v>
      </c>
      <c r="E296" s="5"/>
    </row>
    <row r="297" spans="3:4" s="17" customFormat="1" ht="12.75">
      <c r="C297" s="131"/>
      <c r="D297" s="131"/>
    </row>
    <row r="298" spans="1:4" ht="12.75">
      <c r="A298" s="3"/>
      <c r="B298" s="3"/>
      <c r="C298" s="118"/>
      <c r="D298" s="118"/>
    </row>
    <row r="299" spans="1:4" ht="12.75">
      <c r="A299" s="3"/>
      <c r="B299" s="3"/>
      <c r="C299" s="118"/>
      <c r="D299" s="118"/>
    </row>
    <row r="300" spans="1:4" ht="12.75">
      <c r="A300" s="3"/>
      <c r="B300" s="3"/>
      <c r="C300" s="118"/>
      <c r="D300" s="118"/>
    </row>
    <row r="301" spans="1:4" ht="15">
      <c r="A301" s="19" t="s">
        <v>837</v>
      </c>
      <c r="B301" s="19"/>
      <c r="C301" s="119"/>
      <c r="D301" s="130"/>
    </row>
    <row r="302" spans="1:4" ht="15">
      <c r="A302" s="20" t="s">
        <v>2</v>
      </c>
      <c r="B302" s="21"/>
      <c r="C302" s="121" t="s">
        <v>3</v>
      </c>
      <c r="D302" s="121" t="s">
        <v>3</v>
      </c>
    </row>
    <row r="303" spans="1:4" ht="12.75">
      <c r="A303" s="24"/>
      <c r="B303" s="25"/>
      <c r="C303" s="123" t="s">
        <v>4</v>
      </c>
      <c r="D303" s="123" t="s">
        <v>5</v>
      </c>
    </row>
    <row r="304" spans="1:4" ht="12.75">
      <c r="A304" s="27" t="s">
        <v>48</v>
      </c>
      <c r="B304" s="28"/>
      <c r="C304" s="125">
        <f>'RUF WORK FOR BS'!E345</f>
        <v>12698</v>
      </c>
      <c r="D304" s="115">
        <v>27164.81</v>
      </c>
    </row>
    <row r="305" spans="1:4" ht="12.75">
      <c r="A305" s="29"/>
      <c r="B305" s="30"/>
      <c r="C305" s="125"/>
      <c r="D305" s="132"/>
    </row>
    <row r="306" spans="1:4" ht="12.75">
      <c r="A306" s="29" t="s">
        <v>816</v>
      </c>
      <c r="B306" s="30"/>
      <c r="C306" s="125">
        <v>0</v>
      </c>
      <c r="D306" s="132">
        <v>79.02</v>
      </c>
    </row>
    <row r="307" spans="1:4" ht="12.75">
      <c r="A307" s="107" t="s">
        <v>797</v>
      </c>
      <c r="B307" s="30"/>
      <c r="C307" s="125">
        <f>'RUF WORK FOR BS'!D348</f>
        <v>36010</v>
      </c>
      <c r="D307" s="132">
        <v>109371.72</v>
      </c>
    </row>
    <row r="308" spans="1:4" ht="12.75">
      <c r="A308" s="107" t="s">
        <v>795</v>
      </c>
      <c r="B308" s="30"/>
      <c r="C308" s="125">
        <f>'RUF WORK FOR BS'!D346</f>
        <v>226332</v>
      </c>
      <c r="D308" s="132">
        <v>1176452.92</v>
      </c>
    </row>
    <row r="309" spans="1:4" ht="12.75">
      <c r="A309" s="107" t="s">
        <v>796</v>
      </c>
      <c r="B309" s="30"/>
      <c r="C309" s="125">
        <f>'RUF WORK FOR BS'!D347</f>
        <v>33326</v>
      </c>
      <c r="D309" s="132">
        <v>117849.52</v>
      </c>
    </row>
    <row r="310" spans="1:4" ht="12.75">
      <c r="A310" s="107" t="s">
        <v>798</v>
      </c>
      <c r="B310" s="30"/>
      <c r="C310" s="125">
        <f>'RUF WORK FOR BS'!D349</f>
        <v>113607</v>
      </c>
      <c r="D310" s="132">
        <v>4193</v>
      </c>
    </row>
    <row r="311" spans="1:4" ht="12.75">
      <c r="A311" s="107" t="s">
        <v>799</v>
      </c>
      <c r="B311" s="30"/>
      <c r="C311" s="125">
        <f>'RUF WORK FOR BS'!D350</f>
        <v>370326</v>
      </c>
      <c r="D311" s="132">
        <v>21002.1</v>
      </c>
    </row>
    <row r="312" spans="1:4" ht="12.75">
      <c r="A312" s="107" t="s">
        <v>801</v>
      </c>
      <c r="B312" s="30"/>
      <c r="C312" s="125">
        <f>'RUF WORK FOR BS'!D351</f>
        <v>2543750</v>
      </c>
      <c r="D312" s="132">
        <v>0</v>
      </c>
    </row>
    <row r="313" spans="1:4" ht="12.75">
      <c r="A313" s="107" t="s">
        <v>800</v>
      </c>
      <c r="B313" s="30"/>
      <c r="C313" s="125">
        <f>'RUF WORK FOR BS'!D352</f>
        <v>4196330</v>
      </c>
      <c r="D313" s="132">
        <v>0</v>
      </c>
    </row>
    <row r="314" spans="1:4" ht="12.75">
      <c r="A314" s="107" t="s">
        <v>802</v>
      </c>
      <c r="B314" s="30"/>
      <c r="C314" s="125">
        <f>'RUF WORK FOR BS'!D353</f>
        <v>741460</v>
      </c>
      <c r="D314" s="132">
        <v>2615843.12</v>
      </c>
    </row>
    <row r="315" spans="1:4" ht="12.75">
      <c r="A315" s="107" t="s">
        <v>810</v>
      </c>
      <c r="B315" s="30"/>
      <c r="C315" s="125">
        <f>'RUF WORK FOR BS'!D361</f>
        <v>231078</v>
      </c>
      <c r="D315" s="132">
        <v>927558.24</v>
      </c>
    </row>
    <row r="316" spans="1:4" ht="12.75">
      <c r="A316" s="107" t="s">
        <v>807</v>
      </c>
      <c r="B316" s="30"/>
      <c r="C316" s="125">
        <f>'RUF WORK FOR BS'!D359</f>
        <v>151673</v>
      </c>
      <c r="D316" s="132">
        <v>1391920.9</v>
      </c>
    </row>
    <row r="317" spans="1:4" ht="12.75">
      <c r="A317" s="107" t="s">
        <v>809</v>
      </c>
      <c r="B317" s="30"/>
      <c r="C317" s="125">
        <f>'RUF WORK FOR BS'!D360</f>
        <v>2050</v>
      </c>
      <c r="D317" s="132">
        <v>112550.25</v>
      </c>
    </row>
    <row r="318" spans="1:4" ht="12.75">
      <c r="A318" s="107" t="s">
        <v>803</v>
      </c>
      <c r="B318" s="30"/>
      <c r="C318" s="125">
        <f>'RUF WORK FOR BS'!D354</f>
        <v>1385331</v>
      </c>
      <c r="D318" s="132">
        <v>2079135.92</v>
      </c>
    </row>
    <row r="319" spans="1:4" ht="12.75">
      <c r="A319" s="107" t="s">
        <v>804</v>
      </c>
      <c r="B319" s="30"/>
      <c r="C319" s="125">
        <f>'RUF WORK FOR BS'!D355</f>
        <v>419963</v>
      </c>
      <c r="D319" s="132">
        <v>1405241.63</v>
      </c>
    </row>
    <row r="320" spans="1:4" ht="12.75">
      <c r="A320" s="107" t="s">
        <v>805</v>
      </c>
      <c r="B320" s="30"/>
      <c r="C320" s="125">
        <f>'RUF WORK FOR BS'!D356</f>
        <v>1079148</v>
      </c>
      <c r="D320" s="132">
        <v>87236</v>
      </c>
    </row>
    <row r="321" spans="1:4" ht="12.75">
      <c r="A321" s="107" t="s">
        <v>806</v>
      </c>
      <c r="B321" s="30"/>
      <c r="C321" s="125">
        <f>'RUF WORK FOR BS'!D357</f>
        <v>14969</v>
      </c>
      <c r="D321" s="132">
        <v>16186</v>
      </c>
    </row>
    <row r="322" spans="1:4" ht="12.75">
      <c r="A322" s="107" t="s">
        <v>806</v>
      </c>
      <c r="B322" s="30"/>
      <c r="C322" s="125">
        <f>'RUF WORK FOR BS'!D363</f>
        <v>11757</v>
      </c>
      <c r="D322" s="132">
        <v>33107.75</v>
      </c>
    </row>
    <row r="323" spans="1:4" ht="12.75">
      <c r="A323" s="107" t="s">
        <v>806</v>
      </c>
      <c r="B323" s="30"/>
      <c r="C323" s="125">
        <f>'RUF WORK FOR BS'!D364</f>
        <v>34860</v>
      </c>
      <c r="D323" s="132">
        <v>272125</v>
      </c>
    </row>
    <row r="324" spans="1:4" ht="12.75">
      <c r="A324" s="107" t="s">
        <v>811</v>
      </c>
      <c r="B324" s="30"/>
      <c r="C324" s="125">
        <f>'RUF WORK FOR BS'!D362</f>
        <v>217454</v>
      </c>
      <c r="D324" s="132">
        <v>322630.91</v>
      </c>
    </row>
    <row r="325" spans="1:4" ht="12.75">
      <c r="A325" s="107" t="s">
        <v>808</v>
      </c>
      <c r="B325" s="30"/>
      <c r="C325" s="125">
        <f>'RUF WORK FOR BS'!D358</f>
        <v>492416</v>
      </c>
      <c r="D325" s="132">
        <v>426365.58</v>
      </c>
    </row>
    <row r="326" spans="1:4" ht="12.75">
      <c r="A326" s="107" t="s">
        <v>818</v>
      </c>
      <c r="B326" s="30"/>
      <c r="C326" s="125">
        <v>0</v>
      </c>
      <c r="D326" s="132">
        <v>154.16</v>
      </c>
    </row>
    <row r="327" spans="1:4" ht="12.75">
      <c r="A327" s="107" t="s">
        <v>812</v>
      </c>
      <c r="B327" s="30"/>
      <c r="C327" s="125">
        <f>'RUF WORK FOR BS'!D365</f>
        <v>18193</v>
      </c>
      <c r="D327" s="132">
        <v>75514.4</v>
      </c>
    </row>
    <row r="328" spans="1:4" ht="12.75">
      <c r="A328" s="107" t="s">
        <v>813</v>
      </c>
      <c r="B328" s="30"/>
      <c r="C328" s="125">
        <f>'RUF WORK FOR BS'!D366</f>
        <v>23259</v>
      </c>
      <c r="D328" s="132">
        <v>18650.04</v>
      </c>
    </row>
    <row r="329" spans="1:4" ht="12.75">
      <c r="A329" s="107" t="s">
        <v>813</v>
      </c>
      <c r="B329" s="30"/>
      <c r="C329" s="125">
        <v>0</v>
      </c>
      <c r="D329" s="132">
        <v>800</v>
      </c>
    </row>
    <row r="330" spans="1:4" ht="12.75">
      <c r="A330" s="107" t="s">
        <v>814</v>
      </c>
      <c r="B330" s="30"/>
      <c r="C330" s="125">
        <f>'RUF WORK FOR BS'!D367</f>
        <v>20562</v>
      </c>
      <c r="D330" s="132">
        <v>1007061.34</v>
      </c>
    </row>
    <row r="331" spans="1:4" ht="12.75">
      <c r="A331" s="107" t="s">
        <v>815</v>
      </c>
      <c r="B331" s="30"/>
      <c r="C331" s="125">
        <f>'RUF WORK FOR BS'!D368</f>
        <v>10334</v>
      </c>
      <c r="D331" s="132">
        <v>70834</v>
      </c>
    </row>
    <row r="332" spans="1:4" ht="12.75">
      <c r="A332" s="107" t="s">
        <v>817</v>
      </c>
      <c r="B332" s="30"/>
      <c r="C332" s="125">
        <v>0</v>
      </c>
      <c r="D332" s="132">
        <v>100</v>
      </c>
    </row>
    <row r="333" spans="1:4" ht="12.75">
      <c r="A333" s="107" t="s">
        <v>817</v>
      </c>
      <c r="B333" s="30"/>
      <c r="C333" s="125">
        <v>0</v>
      </c>
      <c r="D333" s="132">
        <v>140</v>
      </c>
    </row>
    <row r="334" spans="1:4" ht="12.75">
      <c r="A334" s="32"/>
      <c r="B334" s="33"/>
      <c r="C334" s="126"/>
      <c r="D334" s="133"/>
    </row>
    <row r="335" spans="1:4" ht="12.75">
      <c r="A335" s="3" t="s">
        <v>8</v>
      </c>
      <c r="B335" s="3"/>
      <c r="C335" s="117">
        <f>SUM(C304:C334)</f>
        <v>12386886</v>
      </c>
      <c r="D335" s="117">
        <f>SUM(D304:D334)+0.3</f>
        <v>12319268.629999999</v>
      </c>
    </row>
    <row r="336" spans="1:4" ht="12.75">
      <c r="A336" s="3"/>
      <c r="B336" s="3"/>
      <c r="C336" s="118"/>
      <c r="D336" s="118"/>
    </row>
    <row r="337" spans="1:4" ht="12.75">
      <c r="A337" s="3"/>
      <c r="B337" s="3"/>
      <c r="C337" s="118"/>
      <c r="D337" s="118"/>
    </row>
    <row r="338" spans="1:4" ht="15">
      <c r="A338" s="19" t="s">
        <v>850</v>
      </c>
      <c r="B338" s="19"/>
      <c r="C338" s="119"/>
      <c r="D338" s="120"/>
    </row>
    <row r="339" spans="1:4" ht="15">
      <c r="A339" s="20" t="s">
        <v>2</v>
      </c>
      <c r="B339" s="21"/>
      <c r="C339" s="121" t="s">
        <v>3</v>
      </c>
      <c r="D339" s="121" t="s">
        <v>3</v>
      </c>
    </row>
    <row r="340" spans="1:4" ht="12.75">
      <c r="A340" s="24"/>
      <c r="B340" s="25"/>
      <c r="C340" s="123" t="s">
        <v>4</v>
      </c>
      <c r="D340" s="123" t="s">
        <v>5</v>
      </c>
    </row>
    <row r="341" spans="1:4" ht="12.75">
      <c r="A341" s="27" t="s">
        <v>192</v>
      </c>
      <c r="B341" s="28"/>
      <c r="C341" s="115">
        <f>'RUF WORK FOR P &amp; L'!G37</f>
        <v>0</v>
      </c>
      <c r="D341" s="115">
        <v>36255026.2</v>
      </c>
    </row>
    <row r="342" spans="1:4" ht="12.75">
      <c r="A342" s="29" t="s">
        <v>194</v>
      </c>
      <c r="B342" s="30"/>
      <c r="C342" s="115">
        <f>'RUF WORK FOR P &amp; L'!G22</f>
        <v>0</v>
      </c>
      <c r="D342" s="115">
        <v>224861</v>
      </c>
    </row>
    <row r="343" spans="1:4" ht="12.75">
      <c r="A343" s="29" t="s">
        <v>196</v>
      </c>
      <c r="B343" s="30"/>
      <c r="C343" s="115">
        <f>'RUF WORK FOR P &amp; L'!G10</f>
        <v>0</v>
      </c>
      <c r="D343" s="115">
        <v>1256896</v>
      </c>
    </row>
    <row r="344" spans="1:4" ht="12.75">
      <c r="A344" s="29" t="s">
        <v>197</v>
      </c>
      <c r="B344" s="30"/>
      <c r="C344" s="115">
        <f>'RUF WORK FOR P &amp; L'!G15</f>
        <v>0</v>
      </c>
      <c r="D344" s="115">
        <v>137165</v>
      </c>
    </row>
    <row r="345" spans="1:4" ht="12.75">
      <c r="A345" s="29" t="s">
        <v>193</v>
      </c>
      <c r="B345" s="30"/>
      <c r="C345" s="115">
        <f>'RUF WORK FOR P &amp; L'!G39</f>
        <v>0</v>
      </c>
      <c r="D345" s="115">
        <v>27379</v>
      </c>
    </row>
    <row r="346" spans="1:4" ht="12.75">
      <c r="A346" s="29" t="s">
        <v>195</v>
      </c>
      <c r="B346" s="30"/>
      <c r="C346" s="115">
        <f>'RUF WORK FOR P &amp; L'!G47</f>
        <v>45692090</v>
      </c>
      <c r="D346" s="115">
        <v>97767</v>
      </c>
    </row>
    <row r="347" spans="1:4" ht="12.75">
      <c r="A347" s="32"/>
      <c r="B347" s="33"/>
      <c r="C347" s="116"/>
      <c r="D347" s="116"/>
    </row>
    <row r="348" spans="1:4" ht="12.75">
      <c r="A348" s="3" t="s">
        <v>8</v>
      </c>
      <c r="B348" s="3"/>
      <c r="C348" s="117">
        <f>SUM(C341:C347)</f>
        <v>45692090</v>
      </c>
      <c r="D348" s="117">
        <f>SUM(D341:D347)</f>
        <v>37999094.2</v>
      </c>
    </row>
    <row r="349" spans="1:4" ht="12.75">
      <c r="A349" s="3"/>
      <c r="B349" s="3"/>
      <c r="C349" s="118"/>
      <c r="D349" s="118"/>
    </row>
    <row r="350" spans="1:4" ht="15">
      <c r="A350" s="19" t="s">
        <v>838</v>
      </c>
      <c r="B350" s="19"/>
      <c r="C350" s="119"/>
      <c r="D350" s="130"/>
    </row>
    <row r="351" spans="1:4" ht="15">
      <c r="A351" s="20" t="s">
        <v>2</v>
      </c>
      <c r="B351" s="21"/>
      <c r="C351" s="121" t="s">
        <v>3</v>
      </c>
      <c r="D351" s="121" t="s">
        <v>3</v>
      </c>
    </row>
    <row r="352" spans="1:4" ht="12.75">
      <c r="A352" s="24"/>
      <c r="B352" s="25"/>
      <c r="C352" s="123" t="s">
        <v>4</v>
      </c>
      <c r="D352" s="123" t="s">
        <v>5</v>
      </c>
    </row>
    <row r="353" spans="1:4" ht="12.75">
      <c r="A353" s="27" t="s">
        <v>99</v>
      </c>
      <c r="B353" s="28"/>
      <c r="C353" s="114">
        <f>'RUF WORK FOR P &amp; L'!E55</f>
        <v>707658</v>
      </c>
      <c r="D353" s="114">
        <v>606250</v>
      </c>
    </row>
    <row r="354" spans="1:4" ht="12.75">
      <c r="A354" s="29" t="s">
        <v>821</v>
      </c>
      <c r="B354" s="30"/>
      <c r="C354" s="115">
        <f>'RUF WORK FOR P &amp; L'!E166</f>
        <v>180887</v>
      </c>
      <c r="D354" s="115">
        <v>138963</v>
      </c>
    </row>
    <row r="355" spans="1:4" ht="12.75">
      <c r="A355" s="29" t="s">
        <v>161</v>
      </c>
      <c r="B355" s="30"/>
      <c r="C355" s="115">
        <f>'RUF WORK FOR P &amp; L'!E63</f>
        <v>35815</v>
      </c>
      <c r="D355" s="115">
        <v>35815</v>
      </c>
    </row>
    <row r="356" spans="1:4" ht="12.75">
      <c r="A356" s="29" t="s">
        <v>209</v>
      </c>
      <c r="B356" s="30"/>
      <c r="C356" s="115">
        <f>'RUF WORK FOR P &amp; L'!E160</f>
        <v>6885</v>
      </c>
      <c r="D356" s="115">
        <v>14492.45</v>
      </c>
    </row>
    <row r="357" spans="1:4" ht="12.75">
      <c r="A357" s="29" t="s">
        <v>167</v>
      </c>
      <c r="B357" s="30"/>
      <c r="C357" s="115">
        <f>'RUF WORK FOR P &amp; L'!E68</f>
        <v>37650</v>
      </c>
      <c r="D357" s="115">
        <v>42370</v>
      </c>
    </row>
    <row r="358" spans="1:4" ht="12.75">
      <c r="A358" s="29" t="s">
        <v>144</v>
      </c>
      <c r="B358" s="30"/>
      <c r="C358" s="115">
        <f>'RUF WORK FOR P &amp; L'!E217</f>
        <v>48510</v>
      </c>
      <c r="D358" s="115">
        <v>25000</v>
      </c>
    </row>
    <row r="359" spans="1:4" ht="12.75">
      <c r="A359" s="29" t="s">
        <v>162</v>
      </c>
      <c r="B359" s="30"/>
      <c r="C359" s="115">
        <f>'RUF WORK FOR P &amp; L'!E72</f>
        <v>2032132</v>
      </c>
      <c r="D359" s="115">
        <v>1667517</v>
      </c>
    </row>
    <row r="360" spans="1:4" ht="12.75">
      <c r="A360" s="29" t="s">
        <v>163</v>
      </c>
      <c r="B360" s="30"/>
      <c r="C360" s="115">
        <f>'RUF WORK FOR P &amp; L'!E76</f>
        <v>1126541</v>
      </c>
      <c r="D360" s="115">
        <v>797563</v>
      </c>
    </row>
    <row r="361" spans="1:4" ht="12.75">
      <c r="A361" s="29" t="s">
        <v>172</v>
      </c>
      <c r="B361" s="30"/>
      <c r="C361" s="115">
        <f>'RUF WORK FOR P &amp; L'!E78</f>
        <v>183621</v>
      </c>
      <c r="D361" s="115">
        <v>101845</v>
      </c>
    </row>
    <row r="362" spans="1:4" ht="12.75">
      <c r="A362" s="29" t="s">
        <v>166</v>
      </c>
      <c r="B362" s="30"/>
      <c r="C362" s="115">
        <f>'RUF WORK FOR P &amp; L'!E83</f>
        <v>497418</v>
      </c>
      <c r="D362" s="115">
        <v>545931</v>
      </c>
    </row>
    <row r="363" spans="1:4" ht="12.75">
      <c r="A363" s="29" t="s">
        <v>164</v>
      </c>
      <c r="B363" s="30"/>
      <c r="C363" s="115">
        <f>'RUF WORK FOR P &amp; L'!E86</f>
        <v>330623</v>
      </c>
      <c r="D363" s="115">
        <v>331700</v>
      </c>
    </row>
    <row r="364" spans="1:4" ht="12.75">
      <c r="A364" s="29" t="s">
        <v>174</v>
      </c>
      <c r="B364" s="30"/>
      <c r="C364" s="115">
        <f>'RUF WORK FOR P &amp; L'!E129</f>
        <v>37825</v>
      </c>
      <c r="D364" s="115">
        <v>49700</v>
      </c>
    </row>
    <row r="365" spans="1:4" ht="12.75">
      <c r="A365" s="29" t="s">
        <v>165</v>
      </c>
      <c r="B365" s="30"/>
      <c r="C365" s="115">
        <f>'RUF WORK FOR P &amp; L'!E88</f>
        <v>135919</v>
      </c>
      <c r="D365" s="115">
        <v>132515</v>
      </c>
    </row>
    <row r="366" spans="1:4" ht="12.75">
      <c r="A366" s="29" t="s">
        <v>173</v>
      </c>
      <c r="B366" s="30"/>
      <c r="C366" s="115">
        <f>'RUF WORK FOR P &amp; L'!G155</f>
        <v>6103603</v>
      </c>
      <c r="D366" s="115">
        <v>7210</v>
      </c>
    </row>
    <row r="367" spans="1:4" ht="12.75">
      <c r="A367" s="29" t="s">
        <v>168</v>
      </c>
      <c r="B367" s="30"/>
      <c r="C367" s="115">
        <f>'RUF WORK FOR P &amp; L'!E91</f>
        <v>383597</v>
      </c>
      <c r="D367" s="115">
        <v>288463.66</v>
      </c>
    </row>
    <row r="368" spans="1:4" ht="12.75">
      <c r="A368" s="29" t="s">
        <v>102</v>
      </c>
      <c r="B368" s="30"/>
      <c r="C368" s="115">
        <f>'RUF WORK FOR P &amp; L'!E97</f>
        <v>1559609</v>
      </c>
      <c r="D368" s="115">
        <v>1808822</v>
      </c>
    </row>
    <row r="369" spans="1:4" ht="12.75">
      <c r="A369" s="29" t="s">
        <v>105</v>
      </c>
      <c r="B369" s="30"/>
      <c r="C369" s="115">
        <f>'RUF WORK FOR P &amp; L'!E214</f>
        <v>4240674</v>
      </c>
      <c r="D369" s="115">
        <v>1745135</v>
      </c>
    </row>
    <row r="370" spans="1:4" ht="12.75">
      <c r="A370" s="29" t="s">
        <v>175</v>
      </c>
      <c r="B370" s="30"/>
      <c r="C370" s="115">
        <f>'RUF WORK FOR P &amp; L'!E103</f>
        <v>1883825</v>
      </c>
      <c r="D370" s="115">
        <v>6045308.52</v>
      </c>
    </row>
    <row r="371" spans="1:4" ht="12.75">
      <c r="A371" s="29" t="s">
        <v>177</v>
      </c>
      <c r="B371" s="30"/>
      <c r="C371" s="115">
        <f>'RUF WORK FOR P &amp; L'!E106</f>
        <v>162455</v>
      </c>
      <c r="D371" s="115">
        <v>133726.33</v>
      </c>
    </row>
    <row r="372" spans="1:4" ht="12.75">
      <c r="A372" s="29" t="s">
        <v>104</v>
      </c>
      <c r="B372" s="30"/>
      <c r="C372" s="115">
        <f>'RUF WORK FOR P &amp; L'!E111</f>
        <v>570207</v>
      </c>
      <c r="D372" s="115">
        <v>561551</v>
      </c>
    </row>
    <row r="373" spans="1:4" ht="12.75">
      <c r="A373" s="29" t="s">
        <v>176</v>
      </c>
      <c r="B373" s="30"/>
      <c r="C373" s="115">
        <f>'RUF WORK FOR P &amp; L'!E117</f>
        <v>35614</v>
      </c>
      <c r="D373" s="115">
        <v>52966.5</v>
      </c>
    </row>
    <row r="374" spans="1:4" ht="12.75">
      <c r="A374" s="29" t="s">
        <v>169</v>
      </c>
      <c r="B374" s="30"/>
      <c r="C374" s="115">
        <f>'RUF WORK FOR P &amp; L'!E124</f>
        <v>3983109</v>
      </c>
      <c r="D374" s="115">
        <v>3421230.21</v>
      </c>
    </row>
    <row r="375" spans="1:4" ht="12.75">
      <c r="A375" s="29" t="s">
        <v>170</v>
      </c>
      <c r="B375" s="30"/>
      <c r="C375" s="115">
        <f>'RUF WORK FOR P &amp; L'!E125</f>
        <v>536060</v>
      </c>
      <c r="D375" s="115">
        <v>521578</v>
      </c>
    </row>
    <row r="376" spans="1:4" ht="12.75">
      <c r="A376" s="29" t="s">
        <v>171</v>
      </c>
      <c r="B376" s="30"/>
      <c r="C376" s="115">
        <f>'RUF WORK FOR P &amp; L'!E127</f>
        <v>134394</v>
      </c>
      <c r="D376" s="115">
        <v>117952</v>
      </c>
    </row>
    <row r="377" spans="1:4" ht="12.75">
      <c r="A377" s="32"/>
      <c r="B377" s="33"/>
      <c r="C377" s="116"/>
      <c r="D377" s="116"/>
    </row>
    <row r="378" spans="1:4" ht="12.75">
      <c r="A378" s="3" t="s">
        <v>8</v>
      </c>
      <c r="B378" s="3"/>
      <c r="C378" s="117">
        <f>SUM(C353:C377)</f>
        <v>24954631</v>
      </c>
      <c r="D378" s="117">
        <f>SUM(D353:D377)</f>
        <v>19193604.669999998</v>
      </c>
    </row>
    <row r="379" spans="1:4" ht="12.75">
      <c r="A379" s="3"/>
      <c r="B379" s="3"/>
      <c r="C379" s="118"/>
      <c r="D379" s="118"/>
    </row>
    <row r="380" spans="1:4" ht="15">
      <c r="A380" s="19" t="s">
        <v>839</v>
      </c>
      <c r="B380" s="19"/>
      <c r="C380" s="119"/>
      <c r="D380" s="120"/>
    </row>
    <row r="381" spans="1:4" ht="15">
      <c r="A381" s="20" t="s">
        <v>2</v>
      </c>
      <c r="B381" s="21"/>
      <c r="C381" s="121" t="s">
        <v>3</v>
      </c>
      <c r="D381" s="121" t="s">
        <v>3</v>
      </c>
    </row>
    <row r="382" spans="1:4" ht="12.75">
      <c r="A382" s="24"/>
      <c r="B382" s="25"/>
      <c r="C382" s="123" t="s">
        <v>4</v>
      </c>
      <c r="D382" s="123" t="s">
        <v>5</v>
      </c>
    </row>
    <row r="383" spans="1:4" ht="12.75">
      <c r="A383" s="27" t="s">
        <v>180</v>
      </c>
      <c r="B383" s="28"/>
      <c r="C383" s="114">
        <f>'RUF WORK FOR P &amp; L'!E228</f>
        <v>794291</v>
      </c>
      <c r="D383" s="114">
        <v>1413620.39</v>
      </c>
    </row>
    <row r="384" spans="1:4" ht="12.75">
      <c r="A384" s="29" t="s">
        <v>181</v>
      </c>
      <c r="B384" s="30"/>
      <c r="C384" s="115">
        <f>'RUF WORK FOR P &amp; L'!E231</f>
        <v>274985</v>
      </c>
      <c r="D384" s="115">
        <v>302020</v>
      </c>
    </row>
    <row r="385" spans="1:4" ht="12.75">
      <c r="A385" s="29" t="s">
        <v>182</v>
      </c>
      <c r="B385" s="30"/>
      <c r="C385" s="115">
        <f>'RUF WORK FOR P &amp; L'!E234</f>
        <v>151655</v>
      </c>
      <c r="D385" s="115">
        <v>204430</v>
      </c>
    </row>
    <row r="386" spans="1:4" ht="12.75">
      <c r="A386" s="29" t="s">
        <v>183</v>
      </c>
      <c r="B386" s="30"/>
      <c r="C386" s="115">
        <f>'RUF WORK FOR P &amp; L'!E239</f>
        <v>90020</v>
      </c>
      <c r="D386" s="115">
        <v>107101</v>
      </c>
    </row>
    <row r="387" spans="1:4" ht="12.75">
      <c r="A387" s="29" t="s">
        <v>184</v>
      </c>
      <c r="B387" s="30"/>
      <c r="C387" s="115">
        <f>'RUF WORK FOR P &amp; L'!E241</f>
        <v>683137</v>
      </c>
      <c r="D387" s="115">
        <v>820823</v>
      </c>
    </row>
    <row r="388" spans="1:4" ht="12.75">
      <c r="A388" s="29" t="s">
        <v>185</v>
      </c>
      <c r="B388" s="30"/>
      <c r="C388" s="115">
        <f>'RUF WORK FOR P &amp; L'!E243</f>
        <v>14119</v>
      </c>
      <c r="D388" s="115">
        <v>42619</v>
      </c>
    </row>
    <row r="389" spans="1:4" ht="12.75">
      <c r="A389" s="29" t="s">
        <v>186</v>
      </c>
      <c r="B389" s="30"/>
      <c r="C389" s="115">
        <f>'RUF WORK FOR P &amp; L'!E248</f>
        <v>159419</v>
      </c>
      <c r="D389" s="115">
        <v>14855</v>
      </c>
    </row>
    <row r="390" spans="1:4" ht="12.75">
      <c r="A390" s="29" t="s">
        <v>187</v>
      </c>
      <c r="B390" s="30"/>
      <c r="C390" s="115">
        <f>'RUF WORK FOR P &amp; L'!E247</f>
        <v>29123</v>
      </c>
      <c r="D390" s="115">
        <v>24791</v>
      </c>
    </row>
    <row r="391" spans="1:4" ht="12.75">
      <c r="A391" s="29" t="s">
        <v>687</v>
      </c>
      <c r="B391" s="30"/>
      <c r="C391" s="115">
        <f>'RUF WORK FOR P &amp; L'!E245</f>
        <v>526383</v>
      </c>
      <c r="D391" s="115">
        <v>34704</v>
      </c>
    </row>
    <row r="392" spans="1:4" ht="12.75">
      <c r="A392" s="29" t="s">
        <v>188</v>
      </c>
      <c r="B392" s="30"/>
      <c r="C392" s="115">
        <f>'RUF WORK FOR P &amp; L'!E223</f>
        <v>12248</v>
      </c>
      <c r="D392" s="115">
        <v>12863</v>
      </c>
    </row>
    <row r="393" spans="1:4" ht="12.75">
      <c r="A393" s="29" t="s">
        <v>189</v>
      </c>
      <c r="B393" s="30"/>
      <c r="C393" s="115">
        <f>'RUF WORK FOR P &amp; L'!E225</f>
        <v>81511</v>
      </c>
      <c r="D393" s="115">
        <v>43220.4</v>
      </c>
    </row>
    <row r="394" spans="1:4" ht="12.75">
      <c r="A394" s="29" t="s">
        <v>190</v>
      </c>
      <c r="B394" s="30"/>
      <c r="C394" s="115">
        <f>'RUF WORK FOR P &amp; L'!E242</f>
        <v>4900</v>
      </c>
      <c r="D394" s="115">
        <v>11419</v>
      </c>
    </row>
    <row r="395" spans="1:4" ht="12.75">
      <c r="A395" s="29" t="s">
        <v>191</v>
      </c>
      <c r="B395" s="30"/>
      <c r="C395" s="115">
        <f>'RUF WORK FOR P &amp; L'!E224</f>
        <v>57600</v>
      </c>
      <c r="D395" s="115">
        <v>41332</v>
      </c>
    </row>
    <row r="396" spans="1:4" ht="12.75">
      <c r="A396" s="29" t="s">
        <v>173</v>
      </c>
      <c r="B396" s="30"/>
      <c r="C396" s="115">
        <f>'RUF WORK FOR P &amp; L'!E264</f>
        <v>584025</v>
      </c>
      <c r="D396" s="115">
        <v>0</v>
      </c>
    </row>
    <row r="397" spans="1:4" ht="12.75">
      <c r="A397" s="32"/>
      <c r="B397" s="33"/>
      <c r="C397" s="116"/>
      <c r="D397" s="116"/>
    </row>
    <row r="398" spans="1:4" ht="12.75">
      <c r="A398" s="3" t="s">
        <v>8</v>
      </c>
      <c r="B398" s="3"/>
      <c r="C398" s="117">
        <f>SUM(C383:C397)</f>
        <v>3463416</v>
      </c>
      <c r="D398" s="117">
        <f>SUM(D383:D397)</f>
        <v>3073797.7899999996</v>
      </c>
    </row>
    <row r="399" spans="1:4" ht="15">
      <c r="A399" s="19" t="s">
        <v>840</v>
      </c>
      <c r="B399" s="19"/>
      <c r="C399" s="119"/>
      <c r="D399" s="120"/>
    </row>
    <row r="400" spans="1:4" ht="15">
      <c r="A400" s="20" t="s">
        <v>2</v>
      </c>
      <c r="B400" s="21"/>
      <c r="C400" s="121" t="s">
        <v>3</v>
      </c>
      <c r="D400" s="121" t="s">
        <v>3</v>
      </c>
    </row>
    <row r="401" spans="1:4" ht="12.75">
      <c r="A401" s="24"/>
      <c r="B401" s="25"/>
      <c r="C401" s="123" t="s">
        <v>4</v>
      </c>
      <c r="D401" s="123" t="s">
        <v>5</v>
      </c>
    </row>
    <row r="402" spans="1:4" ht="12.75">
      <c r="A402" s="27" t="s">
        <v>22</v>
      </c>
      <c r="B402" s="28"/>
      <c r="C402" s="114">
        <f>'RUF WORK FOR P &amp; L'!G275</f>
        <v>0</v>
      </c>
      <c r="D402" s="114">
        <v>39000</v>
      </c>
    </row>
    <row r="403" spans="1:4" ht="12.75">
      <c r="A403" s="29" t="s">
        <v>200</v>
      </c>
      <c r="B403" s="30"/>
      <c r="C403" s="115">
        <f>'RUF WORK FOR P &amp; L'!G277</f>
        <v>0</v>
      </c>
      <c r="D403" s="115">
        <v>9715755</v>
      </c>
    </row>
    <row r="404" spans="1:4" ht="12.75">
      <c r="A404" s="29" t="s">
        <v>199</v>
      </c>
      <c r="B404" s="30"/>
      <c r="C404" s="115">
        <f>'RUF WORK FOR P &amp; L'!G278</f>
        <v>0</v>
      </c>
      <c r="D404" s="115">
        <v>5778000</v>
      </c>
    </row>
    <row r="405" spans="1:4" ht="12.75">
      <c r="A405" s="29" t="s">
        <v>201</v>
      </c>
      <c r="B405" s="30"/>
      <c r="C405" s="115">
        <f>'RUF WORK FOR P &amp; L'!G295+'RUF WORK FOR P &amp; L'!G308</f>
        <v>98913720</v>
      </c>
      <c r="D405" s="115">
        <v>1070109.72</v>
      </c>
    </row>
    <row r="406" spans="1:4" ht="12.75">
      <c r="A406" s="29" t="s">
        <v>202</v>
      </c>
      <c r="B406" s="30"/>
      <c r="C406" s="115">
        <f>'RUF WORK FOR P &amp; L'!G279</f>
        <v>0</v>
      </c>
      <c r="D406" s="115">
        <v>208895</v>
      </c>
    </row>
    <row r="407" spans="1:4" ht="12.75">
      <c r="A407" s="29" t="s">
        <v>198</v>
      </c>
      <c r="B407" s="30"/>
      <c r="C407" s="115">
        <f>'RUF WORK FOR P &amp; L'!G286</f>
        <v>0</v>
      </c>
      <c r="D407" s="115">
        <v>66082424</v>
      </c>
    </row>
    <row r="408" spans="1:4" ht="12.75">
      <c r="A408" s="29" t="s">
        <v>463</v>
      </c>
      <c r="B408" s="30"/>
      <c r="C408" s="115">
        <v>51945</v>
      </c>
      <c r="D408" s="115">
        <v>0</v>
      </c>
    </row>
    <row r="409" spans="1:4" ht="12.75">
      <c r="A409" s="32"/>
      <c r="B409" s="33"/>
      <c r="C409" s="116"/>
      <c r="D409" s="116"/>
    </row>
    <row r="410" spans="1:4" ht="12.75">
      <c r="A410" s="3" t="s">
        <v>8</v>
      </c>
      <c r="B410" s="3"/>
      <c r="C410" s="117">
        <f>SUM(C402:C409)</f>
        <v>98965665</v>
      </c>
      <c r="D410" s="117">
        <f>SUM(D402:D409)</f>
        <v>82894183.72</v>
      </c>
    </row>
    <row r="411" spans="3:4" ht="12.75">
      <c r="C411" s="134"/>
      <c r="D411" s="134"/>
    </row>
    <row r="412" spans="3:4" ht="12.75">
      <c r="C412" s="134"/>
      <c r="D412" s="134"/>
    </row>
    <row r="413" spans="1:4" ht="15">
      <c r="A413" s="19" t="s">
        <v>841</v>
      </c>
      <c r="B413" s="19"/>
      <c r="C413" s="119"/>
      <c r="D413" s="120"/>
    </row>
    <row r="414" spans="1:4" ht="15">
      <c r="A414" s="20" t="s">
        <v>2</v>
      </c>
      <c r="B414" s="21"/>
      <c r="C414" s="121" t="s">
        <v>3</v>
      </c>
      <c r="D414" s="121" t="s">
        <v>3</v>
      </c>
    </row>
    <row r="415" spans="1:4" ht="12.75">
      <c r="A415" s="24"/>
      <c r="B415" s="25"/>
      <c r="C415" s="123" t="s">
        <v>4</v>
      </c>
      <c r="D415" s="123" t="s">
        <v>5</v>
      </c>
    </row>
    <row r="416" spans="1:4" ht="12.75">
      <c r="A416" s="27" t="s">
        <v>823</v>
      </c>
      <c r="B416" s="28"/>
      <c r="C416" s="114">
        <f>'RUF WORK FOR TRADING'!E34-'RUF WORK FOR TRADING'!E37</f>
        <v>4839222</v>
      </c>
      <c r="D416" s="114">
        <v>4751270.38</v>
      </c>
    </row>
    <row r="417" spans="1:4" ht="12.75">
      <c r="A417" s="29" t="s">
        <v>824</v>
      </c>
      <c r="B417" s="30"/>
      <c r="C417" s="115">
        <v>0</v>
      </c>
      <c r="D417" s="115">
        <v>53433</v>
      </c>
    </row>
    <row r="418" spans="1:4" ht="12.75">
      <c r="A418" s="29" t="s">
        <v>121</v>
      </c>
      <c r="B418" s="30"/>
      <c r="C418" s="126">
        <f>'RUF WORK FOR TRADING'!E17</f>
        <v>2002524</v>
      </c>
      <c r="D418" s="126">
        <f>1971194</f>
        <v>1971194</v>
      </c>
    </row>
    <row r="419" spans="1:4" ht="12.75">
      <c r="A419" s="29"/>
      <c r="B419" s="30"/>
      <c r="C419" s="115">
        <f>SUM(C416:C418)</f>
        <v>6841746</v>
      </c>
      <c r="D419" s="115">
        <f>SUM(D416:D418)</f>
        <v>6775897.38</v>
      </c>
    </row>
    <row r="420" spans="1:4" ht="12.75">
      <c r="A420" s="29" t="s">
        <v>825</v>
      </c>
      <c r="B420" s="30"/>
      <c r="C420" s="115">
        <f>'RUF WORK FOR TRADING'!E12</f>
        <v>1971194</v>
      </c>
      <c r="D420" s="115">
        <v>2692796.4</v>
      </c>
    </row>
    <row r="421" spans="1:4" ht="12.75">
      <c r="A421" s="29" t="s">
        <v>826</v>
      </c>
      <c r="B421" s="30"/>
      <c r="C421" s="115">
        <f>'RUF WORK FOR TRADING'!E30</f>
        <v>3443426</v>
      </c>
      <c r="D421" s="115">
        <v>2757080.87</v>
      </c>
    </row>
    <row r="422" spans="1:4" ht="12.75">
      <c r="A422" s="32"/>
      <c r="B422" s="33"/>
      <c r="C422" s="116"/>
      <c r="D422" s="116"/>
    </row>
    <row r="423" spans="1:4" ht="12.75">
      <c r="A423" s="3" t="s">
        <v>8</v>
      </c>
      <c r="B423" s="3"/>
      <c r="C423" s="117">
        <f>C419-(SUM(C420:C422))</f>
        <v>1427126</v>
      </c>
      <c r="D423" s="117">
        <f>D419-(SUM(D420:D422))</f>
        <v>1326020.1100000003</v>
      </c>
    </row>
    <row r="424" spans="3:4" ht="12.75">
      <c r="C424" s="134"/>
      <c r="D424" s="134"/>
    </row>
    <row r="425" spans="3:4" ht="12.75">
      <c r="C425" s="134"/>
      <c r="D425" s="134"/>
    </row>
    <row r="426" spans="1:4" ht="15">
      <c r="A426" s="19" t="s">
        <v>842</v>
      </c>
      <c r="B426" s="19"/>
      <c r="C426" s="119"/>
      <c r="D426" s="120"/>
    </row>
    <row r="427" spans="1:4" ht="15">
      <c r="A427" s="20" t="s">
        <v>2</v>
      </c>
      <c r="B427" s="21"/>
      <c r="C427" s="121" t="s">
        <v>3</v>
      </c>
      <c r="D427" s="121" t="s">
        <v>3</v>
      </c>
    </row>
    <row r="428" spans="1:4" ht="12.75">
      <c r="A428" s="24"/>
      <c r="B428" s="25"/>
      <c r="C428" s="123" t="s">
        <v>4</v>
      </c>
      <c r="D428" s="123" t="s">
        <v>5</v>
      </c>
    </row>
    <row r="429" spans="1:4" ht="12.75">
      <c r="A429" s="27" t="s">
        <v>828</v>
      </c>
      <c r="B429" s="28"/>
      <c r="C429" s="114">
        <v>289800</v>
      </c>
      <c r="D429" s="114">
        <v>270900</v>
      </c>
    </row>
    <row r="430" spans="1:4" ht="12.75">
      <c r="A430" s="32"/>
      <c r="B430" s="33"/>
      <c r="C430" s="116"/>
      <c r="D430" s="116"/>
    </row>
    <row r="431" spans="1:4" ht="12.75">
      <c r="A431" s="3" t="s">
        <v>8</v>
      </c>
      <c r="B431" s="3"/>
      <c r="C431" s="117">
        <f>SUM(C429:C429)</f>
        <v>289800</v>
      </c>
      <c r="D431" s="117">
        <f>SUM(D429:D429)</f>
        <v>270900</v>
      </c>
    </row>
    <row r="432" spans="3:4" ht="12.75">
      <c r="C432" s="134"/>
      <c r="D432" s="134"/>
    </row>
    <row r="433" spans="3:4" ht="12.75">
      <c r="C433" s="134"/>
      <c r="D433" s="134"/>
    </row>
    <row r="434" spans="3:4" ht="12.75">
      <c r="C434" s="134"/>
      <c r="D434" s="134"/>
    </row>
    <row r="435" spans="3:4" ht="12.75">
      <c r="C435" s="134"/>
      <c r="D435" s="134"/>
    </row>
    <row r="436" spans="3:4" ht="12.75">
      <c r="C436" s="134"/>
      <c r="D436" s="134"/>
    </row>
    <row r="437" spans="3:4" ht="12.75">
      <c r="C437" s="134"/>
      <c r="D437" s="134"/>
    </row>
    <row r="438" spans="3:4" ht="12.75">
      <c r="C438" s="134"/>
      <c r="D438" s="134"/>
    </row>
    <row r="439" spans="3:4" ht="12.75">
      <c r="C439" s="134"/>
      <c r="D439" s="134"/>
    </row>
    <row r="440" spans="3:4" ht="12.75">
      <c r="C440" s="134"/>
      <c r="D440" s="134"/>
    </row>
    <row r="441" spans="3:4" ht="12.75">
      <c r="C441" s="134"/>
      <c r="D441" s="134"/>
    </row>
    <row r="442" spans="3:4" ht="12.75">
      <c r="C442" s="134"/>
      <c r="D442" s="134"/>
    </row>
    <row r="443" spans="3:4" ht="12.75">
      <c r="C443" s="134"/>
      <c r="D443" s="134"/>
    </row>
    <row r="444" spans="3:4" ht="12.75">
      <c r="C444" s="134"/>
      <c r="D444" s="134"/>
    </row>
    <row r="445" spans="3:4" ht="12.75">
      <c r="C445" s="134"/>
      <c r="D445" s="134"/>
    </row>
    <row r="446" spans="3:4" ht="12.75">
      <c r="C446" s="134"/>
      <c r="D446" s="134"/>
    </row>
    <row r="447" spans="3:4" ht="12.75">
      <c r="C447" s="134"/>
      <c r="D447" s="134"/>
    </row>
    <row r="448" spans="3:4" ht="12.75">
      <c r="C448" s="134"/>
      <c r="D448" s="134"/>
    </row>
    <row r="449" spans="3:4" ht="12.75">
      <c r="C449" s="134"/>
      <c r="D449" s="134"/>
    </row>
    <row r="450" spans="3:4" ht="12.75">
      <c r="C450" s="134"/>
      <c r="D450" s="134"/>
    </row>
    <row r="451" spans="3:4" ht="12.75">
      <c r="C451" s="134"/>
      <c r="D451" s="134"/>
    </row>
    <row r="452" spans="3:4" ht="12.75">
      <c r="C452" s="134"/>
      <c r="D452" s="134"/>
    </row>
    <row r="453" spans="3:4" ht="12.75">
      <c r="C453" s="134"/>
      <c r="D453" s="134"/>
    </row>
    <row r="454" spans="3:4" ht="12.75">
      <c r="C454" s="134"/>
      <c r="D454" s="134"/>
    </row>
    <row r="455" spans="3:4" ht="12.75">
      <c r="C455" s="134"/>
      <c r="D455" s="134"/>
    </row>
    <row r="456" spans="3:4" ht="12.75">
      <c r="C456" s="134"/>
      <c r="D456" s="134"/>
    </row>
    <row r="457" spans="3:4" ht="12.75">
      <c r="C457" s="134"/>
      <c r="D457" s="134"/>
    </row>
    <row r="458" spans="3:4" ht="12.75">
      <c r="C458" s="134"/>
      <c r="D458" s="134"/>
    </row>
    <row r="459" spans="3:4" ht="12.75">
      <c r="C459" s="134"/>
      <c r="D459" s="134"/>
    </row>
    <row r="460" spans="3:4" ht="12.75">
      <c r="C460" s="134"/>
      <c r="D460" s="134"/>
    </row>
    <row r="461" spans="3:4" ht="12.75">
      <c r="C461" s="134"/>
      <c r="D461" s="134"/>
    </row>
    <row r="462" spans="3:4" ht="12.75">
      <c r="C462" s="134"/>
      <c r="D462" s="134"/>
    </row>
    <row r="463" spans="3:4" ht="12.75">
      <c r="C463" s="134"/>
      <c r="D463" s="134"/>
    </row>
    <row r="464" spans="3:4" ht="12.75">
      <c r="C464" s="134"/>
      <c r="D464" s="134"/>
    </row>
    <row r="465" spans="3:4" ht="12.75">
      <c r="C465" s="134"/>
      <c r="D465" s="134"/>
    </row>
    <row r="466" spans="3:4" ht="12.75">
      <c r="C466" s="134"/>
      <c r="D466" s="134"/>
    </row>
    <row r="467" spans="3:4" ht="12.75">
      <c r="C467" s="134"/>
      <c r="D467" s="134"/>
    </row>
    <row r="468" spans="3:4" ht="12.75">
      <c r="C468" s="134"/>
      <c r="D468" s="134"/>
    </row>
    <row r="469" spans="3:4" ht="12.75">
      <c r="C469" s="134"/>
      <c r="D469" s="134"/>
    </row>
    <row r="470" spans="3:4" ht="12.75">
      <c r="C470" s="134"/>
      <c r="D470" s="134"/>
    </row>
    <row r="471" spans="3:4" ht="12.75">
      <c r="C471" s="134"/>
      <c r="D471" s="134"/>
    </row>
    <row r="472" spans="3:4" ht="12.75">
      <c r="C472" s="134"/>
      <c r="D472" s="134"/>
    </row>
    <row r="473" spans="3:4" ht="12.75">
      <c r="C473" s="134"/>
      <c r="D473" s="134"/>
    </row>
    <row r="474" spans="3:4" ht="12.75">
      <c r="C474" s="134"/>
      <c r="D474" s="134"/>
    </row>
    <row r="475" spans="3:4" ht="12.75">
      <c r="C475" s="134"/>
      <c r="D475" s="134"/>
    </row>
    <row r="476" spans="3:4" ht="12.75">
      <c r="C476" s="134"/>
      <c r="D476" s="134"/>
    </row>
    <row r="477" spans="3:4" ht="12.75">
      <c r="C477" s="134"/>
      <c r="D477" s="134"/>
    </row>
    <row r="478" spans="3:4" ht="12.75">
      <c r="C478" s="134"/>
      <c r="D478" s="134"/>
    </row>
    <row r="479" spans="3:4" ht="12.75">
      <c r="C479" s="134"/>
      <c r="D479" s="134"/>
    </row>
    <row r="480" spans="3:4" ht="12.75">
      <c r="C480" s="134"/>
      <c r="D480" s="134"/>
    </row>
    <row r="481" spans="3:4" ht="12.75">
      <c r="C481" s="134"/>
      <c r="D481" s="134"/>
    </row>
    <row r="482" spans="3:4" ht="12.75">
      <c r="C482" s="134"/>
      <c r="D482" s="134"/>
    </row>
    <row r="483" spans="3:4" ht="12.75">
      <c r="C483" s="134"/>
      <c r="D483" s="134"/>
    </row>
    <row r="484" spans="3:4" ht="12.75">
      <c r="C484" s="134"/>
      <c r="D484" s="134"/>
    </row>
    <row r="485" spans="3:4" ht="12.75">
      <c r="C485" s="134"/>
      <c r="D485" s="134"/>
    </row>
    <row r="486" spans="3:4" ht="12.75">
      <c r="C486" s="134"/>
      <c r="D486" s="134"/>
    </row>
    <row r="487" spans="3:4" ht="12.75">
      <c r="C487" s="134"/>
      <c r="D487" s="134"/>
    </row>
    <row r="488" spans="3:4" ht="12.75">
      <c r="C488" s="134"/>
      <c r="D488" s="134"/>
    </row>
    <row r="489" spans="3:4" ht="12.75">
      <c r="C489" s="134"/>
      <c r="D489" s="134"/>
    </row>
    <row r="490" spans="3:4" ht="12.75">
      <c r="C490" s="134"/>
      <c r="D490" s="134"/>
    </row>
    <row r="491" spans="3:4" ht="12.75">
      <c r="C491" s="134"/>
      <c r="D491" s="134"/>
    </row>
    <row r="492" spans="3:4" ht="12.75">
      <c r="C492" s="134"/>
      <c r="D492" s="134"/>
    </row>
    <row r="493" spans="3:4" ht="12.75">
      <c r="C493" s="134"/>
      <c r="D493" s="134"/>
    </row>
    <row r="494" spans="3:4" ht="12.75">
      <c r="C494" s="134"/>
      <c r="D494" s="134"/>
    </row>
    <row r="495" spans="3:4" ht="12.75">
      <c r="C495" s="134"/>
      <c r="D495" s="134"/>
    </row>
    <row r="496" spans="3:4" ht="12.75">
      <c r="C496" s="134"/>
      <c r="D496" s="134"/>
    </row>
    <row r="497" spans="3:4" ht="12.75">
      <c r="C497" s="134"/>
      <c r="D497" s="134"/>
    </row>
    <row r="498" spans="3:4" ht="12.75">
      <c r="C498" s="134"/>
      <c r="D498" s="134"/>
    </row>
    <row r="499" spans="3:4" ht="12.75">
      <c r="C499" s="134"/>
      <c r="D499" s="134"/>
    </row>
    <row r="500" spans="3:4" ht="12.75">
      <c r="C500" s="134"/>
      <c r="D500" s="134"/>
    </row>
    <row r="501" spans="3:4" ht="12.75">
      <c r="C501" s="134"/>
      <c r="D501" s="134"/>
    </row>
    <row r="502" spans="3:4" ht="12.75">
      <c r="C502" s="134"/>
      <c r="D502" s="134"/>
    </row>
    <row r="503" spans="3:4" ht="12.75">
      <c r="C503" s="134"/>
      <c r="D503" s="134"/>
    </row>
    <row r="504" spans="3:4" ht="12.75">
      <c r="C504" s="134"/>
      <c r="D504" s="134"/>
    </row>
    <row r="505" spans="3:4" ht="12.75">
      <c r="C505" s="134"/>
      <c r="D505" s="134"/>
    </row>
    <row r="506" spans="3:4" ht="12.75">
      <c r="C506" s="134"/>
      <c r="D506" s="134"/>
    </row>
    <row r="507" spans="3:4" ht="12.75">
      <c r="C507" s="134"/>
      <c r="D507" s="134"/>
    </row>
    <row r="508" spans="3:4" ht="12.75">
      <c r="C508" s="134"/>
      <c r="D508" s="134"/>
    </row>
    <row r="509" spans="3:4" ht="12.75">
      <c r="C509" s="134"/>
      <c r="D509" s="134"/>
    </row>
    <row r="510" spans="3:4" ht="12.75">
      <c r="C510" s="134"/>
      <c r="D510" s="134"/>
    </row>
    <row r="511" spans="3:4" ht="12.75">
      <c r="C511" s="134"/>
      <c r="D511" s="134"/>
    </row>
    <row r="512" spans="3:4" ht="12.75">
      <c r="C512" s="134"/>
      <c r="D512" s="134"/>
    </row>
    <row r="513" spans="3:4" ht="12.75">
      <c r="C513" s="134"/>
      <c r="D513" s="134"/>
    </row>
    <row r="514" spans="3:4" ht="12.75">
      <c r="C514" s="134"/>
      <c r="D514" s="134"/>
    </row>
    <row r="515" spans="3:4" ht="12.75">
      <c r="C515" s="134"/>
      <c r="D515" s="134"/>
    </row>
    <row r="516" spans="3:4" ht="12.75">
      <c r="C516" s="134"/>
      <c r="D516" s="134"/>
    </row>
    <row r="517" spans="3:4" ht="12.75">
      <c r="C517" s="134"/>
      <c r="D517" s="134"/>
    </row>
    <row r="518" spans="3:4" ht="12.75">
      <c r="C518" s="134"/>
      <c r="D518" s="134"/>
    </row>
    <row r="519" spans="3:4" ht="12.75">
      <c r="C519" s="134"/>
      <c r="D519" s="134"/>
    </row>
    <row r="520" spans="3:4" ht="12.75">
      <c r="C520" s="134"/>
      <c r="D520" s="134"/>
    </row>
    <row r="521" spans="3:4" ht="12.75">
      <c r="C521" s="134"/>
      <c r="D521" s="134"/>
    </row>
    <row r="522" spans="3:4" ht="12.75">
      <c r="C522" s="134"/>
      <c r="D522" s="134"/>
    </row>
    <row r="523" spans="3:4" ht="12.75">
      <c r="C523" s="134"/>
      <c r="D523" s="134"/>
    </row>
    <row r="524" spans="3:4" ht="12.75">
      <c r="C524" s="134"/>
      <c r="D524" s="134"/>
    </row>
    <row r="525" spans="3:4" ht="12.75">
      <c r="C525" s="134"/>
      <c r="D525" s="134"/>
    </row>
    <row r="526" spans="3:4" ht="12.75">
      <c r="C526" s="134"/>
      <c r="D526" s="13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</sheetData>
  <sheetProtection password="DDD9" sheet="1" objects="1" scenarios="1"/>
  <mergeCells count="3">
    <mergeCell ref="A1:E1"/>
    <mergeCell ref="A2:E2"/>
    <mergeCell ref="A4:E4"/>
  </mergeCells>
  <printOptions horizontalCentered="1"/>
  <pageMargins left="1.5" right="0.75" top="0.5" bottom="0.3" header="0.5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">
      <selection activeCell="A18" sqref="A18"/>
    </sheetView>
  </sheetViews>
  <sheetFormatPr defaultColWidth="9.140625" defaultRowHeight="12.75"/>
  <cols>
    <col min="1" max="1" width="4.57421875" style="5" customWidth="1"/>
    <col min="2" max="2" width="26.7109375" style="5" customWidth="1"/>
    <col min="3" max="3" width="12.421875" style="5" customWidth="1"/>
    <col min="4" max="4" width="11.7109375" style="5" customWidth="1"/>
    <col min="5" max="5" width="11.57421875" style="5" customWidth="1"/>
    <col min="6" max="6" width="11.8515625" style="5" customWidth="1"/>
    <col min="7" max="7" width="11.00390625" style="5" customWidth="1"/>
    <col min="8" max="8" width="13.140625" style="5" customWidth="1"/>
    <col min="9" max="9" width="12.28125" style="5" customWidth="1"/>
    <col min="10" max="10" width="12.57421875" style="5" customWidth="1"/>
    <col min="11" max="11" width="13.28125" style="5" customWidth="1"/>
    <col min="12" max="16384" width="9.140625" style="5" customWidth="1"/>
  </cols>
  <sheetData>
    <row r="1" spans="1:11" ht="15.75">
      <c r="A1" s="159" t="s">
        <v>717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>
      <c r="A2" s="154" t="s">
        <v>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>
      <c r="A3" s="154" t="s">
        <v>76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" ht="12.75">
      <c r="A5" s="1" t="s">
        <v>844</v>
      </c>
      <c r="B5" s="1" t="s">
        <v>481</v>
      </c>
    </row>
    <row r="6" ht="13.5" thickBot="1"/>
    <row r="7" spans="1:11" ht="13.5" thickBot="1">
      <c r="A7" s="63" t="s">
        <v>482</v>
      </c>
      <c r="B7" s="60" t="s">
        <v>483</v>
      </c>
      <c r="C7" s="60" t="s">
        <v>146</v>
      </c>
      <c r="D7" s="157" t="s">
        <v>484</v>
      </c>
      <c r="E7" s="160"/>
      <c r="F7" s="160"/>
      <c r="G7" s="160"/>
      <c r="H7" s="158"/>
      <c r="I7" s="60" t="s">
        <v>146</v>
      </c>
      <c r="J7" s="60" t="s">
        <v>146</v>
      </c>
      <c r="K7" s="60" t="s">
        <v>485</v>
      </c>
    </row>
    <row r="8" spans="1:11" ht="13.5" thickBot="1">
      <c r="A8" s="64" t="s">
        <v>486</v>
      </c>
      <c r="B8" s="61"/>
      <c r="C8" s="61" t="s">
        <v>487</v>
      </c>
      <c r="D8" s="63" t="s">
        <v>488</v>
      </c>
      <c r="E8" s="157" t="s">
        <v>489</v>
      </c>
      <c r="F8" s="158"/>
      <c r="G8" s="60" t="s">
        <v>490</v>
      </c>
      <c r="H8" s="61" t="s">
        <v>491</v>
      </c>
      <c r="I8" s="61" t="s">
        <v>492</v>
      </c>
      <c r="J8" s="61" t="s">
        <v>492</v>
      </c>
      <c r="K8" s="61" t="s">
        <v>493</v>
      </c>
    </row>
    <row r="9" spans="1:11" ht="12.75">
      <c r="A9" s="64"/>
      <c r="B9" s="61"/>
      <c r="C9" s="61"/>
      <c r="D9" s="64" t="s">
        <v>493</v>
      </c>
      <c r="E9" s="63" t="s">
        <v>494</v>
      </c>
      <c r="F9" s="61" t="s">
        <v>495</v>
      </c>
      <c r="G9" s="61"/>
      <c r="H9" s="61"/>
      <c r="I9" s="61" t="s">
        <v>496</v>
      </c>
      <c r="J9" s="61" t="s">
        <v>496</v>
      </c>
      <c r="K9" s="61" t="s">
        <v>497</v>
      </c>
    </row>
    <row r="10" spans="1:11" ht="13.5" thickBot="1">
      <c r="A10" s="65"/>
      <c r="B10" s="62"/>
      <c r="C10" s="62"/>
      <c r="D10" s="65" t="s">
        <v>498</v>
      </c>
      <c r="E10" s="65" t="s">
        <v>499</v>
      </c>
      <c r="F10" s="62" t="s">
        <v>499</v>
      </c>
      <c r="G10" s="62"/>
      <c r="H10" s="62"/>
      <c r="I10" s="62" t="s">
        <v>204</v>
      </c>
      <c r="J10" s="62" t="s">
        <v>203</v>
      </c>
      <c r="K10" s="62"/>
    </row>
    <row r="11" ht="12.75">
      <c r="B11" s="1"/>
    </row>
    <row r="12" spans="1:11" ht="12.75">
      <c r="A12" s="55">
        <v>1</v>
      </c>
      <c r="B12" s="5" t="s">
        <v>620</v>
      </c>
      <c r="C12" s="56">
        <v>0</v>
      </c>
      <c r="D12" s="14">
        <f>'RUF WORK FIXED ASSET'!D15</f>
        <v>13697486.65</v>
      </c>
      <c r="E12" s="14">
        <f>'RUF WORK FIXED ASSET'!E15</f>
        <v>0</v>
      </c>
      <c r="F12" s="14">
        <f>'RUF WORK FIXED ASSET'!F15</f>
        <v>8077997.55</v>
      </c>
      <c r="G12" s="14">
        <f>'RUF WORK FIXED ASSET'!G15</f>
        <v>0.2</v>
      </c>
      <c r="H12" s="14">
        <f>'RUF WORK FIXED ASSET'!H15</f>
        <v>21775484</v>
      </c>
      <c r="I12" s="14">
        <f>'RUF WORK FIXED ASSET'!I15</f>
        <v>0</v>
      </c>
      <c r="J12" s="14">
        <f>'RUF WORK FIXED ASSET'!J15</f>
        <v>0</v>
      </c>
      <c r="K12" s="14">
        <f>'RUF WORK FIXED ASSET'!K15</f>
        <v>21775484</v>
      </c>
    </row>
    <row r="13" spans="1:11" ht="12.75">
      <c r="A13" s="55"/>
      <c r="C13" s="56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>
        <f>A12+1</f>
        <v>2</v>
      </c>
      <c r="B14" s="5" t="s">
        <v>621</v>
      </c>
      <c r="C14" s="56">
        <v>0.1</v>
      </c>
      <c r="D14" s="14">
        <f>'RUF WORK FIXED ASSET'!D22</f>
        <v>49898199.98</v>
      </c>
      <c r="E14" s="14">
        <f>'RUF WORK FIXED ASSET'!E22</f>
        <v>3641334</v>
      </c>
      <c r="F14" s="14">
        <f>'RUF WORK FIXED ASSET'!F22</f>
        <v>6686045</v>
      </c>
      <c r="G14" s="14">
        <f>'RUF WORK FIXED ASSET'!G22</f>
        <v>0</v>
      </c>
      <c r="H14" s="14">
        <f>'RUF WORK FIXED ASSET'!H22</f>
        <v>60225578.98</v>
      </c>
      <c r="I14" s="14">
        <f>'RUF WORK FIXED ASSET'!I22</f>
        <v>5653467.978</v>
      </c>
      <c r="J14" s="14">
        <f>'RUF WORK FIXED ASSET'!J22</f>
        <v>5441119.553</v>
      </c>
      <c r="K14" s="14">
        <f>'RUF WORK FIXED ASSET'!K22</f>
        <v>54572110.997</v>
      </c>
    </row>
    <row r="15" spans="1:11" ht="12.75">
      <c r="A15" s="55"/>
      <c r="C15" s="56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>
        <f>A14+1</f>
        <v>3</v>
      </c>
      <c r="B16" s="4" t="s">
        <v>622</v>
      </c>
      <c r="C16" s="56">
        <v>0.6</v>
      </c>
      <c r="D16" s="14">
        <f>'RUF WORK FIXED ASSET'!D28</f>
        <v>2122769.41</v>
      </c>
      <c r="E16" s="14">
        <f>'RUF WORK FIXED ASSET'!E28</f>
        <v>421815</v>
      </c>
      <c r="F16" s="14">
        <f>'RUF WORK FIXED ASSET'!F28</f>
        <v>1166652.5</v>
      </c>
      <c r="G16" s="14">
        <f>'RUF WORK FIXED ASSET'!G28</f>
        <v>0</v>
      </c>
      <c r="H16" s="14">
        <f>'RUF WORK FIXED ASSET'!H28</f>
        <v>3711236.91</v>
      </c>
      <c r="I16" s="14">
        <f>'RUF WORK FIXED ASSET'!I28</f>
        <v>1876745.9160000002</v>
      </c>
      <c r="J16" s="14">
        <f>'RUF WORK FIXED ASSET'!J28</f>
        <v>1871025.63</v>
      </c>
      <c r="K16" s="14">
        <f>'RUF WORK FIXED ASSET'!K28</f>
        <v>1834490.9989999998</v>
      </c>
    </row>
    <row r="17" spans="1:11" ht="12.75">
      <c r="A17" s="55"/>
      <c r="B17" s="4"/>
      <c r="C17" s="56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55">
        <f>A16+1</f>
        <v>4</v>
      </c>
      <c r="B18" s="5" t="s">
        <v>623</v>
      </c>
      <c r="C18" s="56">
        <v>0.25</v>
      </c>
      <c r="D18" s="14">
        <f>'RUF WORK FIXED ASSET'!D33</f>
        <v>747773.1000000001</v>
      </c>
      <c r="E18" s="14">
        <f>'RUF WORK FIXED ASSET'!E33</f>
        <v>943352</v>
      </c>
      <c r="F18" s="14">
        <f>'RUF WORK FIXED ASSET'!F33</f>
        <v>386015</v>
      </c>
      <c r="G18" s="14">
        <f>'RUF WORK FIXED ASSET'!G33</f>
        <v>0</v>
      </c>
      <c r="H18" s="14">
        <f>'RUF WORK FIXED ASSET'!H33</f>
        <v>2077140.1</v>
      </c>
      <c r="I18" s="14">
        <f>'RUF WORK FIXED ASSET'!I33</f>
        <v>471033.10000000003</v>
      </c>
      <c r="J18" s="14">
        <f>'RUF WORK FIXED ASSET'!J33</f>
        <v>249257.695</v>
      </c>
      <c r="K18" s="14">
        <f>'RUF WORK FIXED ASSET'!K33</f>
        <v>1606107</v>
      </c>
    </row>
    <row r="19" spans="1:11" ht="12.75">
      <c r="A19" s="55"/>
      <c r="C19" s="56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55">
        <f>A18+1</f>
        <v>5</v>
      </c>
      <c r="B20" s="5" t="s">
        <v>624</v>
      </c>
      <c r="C20" s="57">
        <v>0.25</v>
      </c>
      <c r="D20" s="14">
        <f>'RUF WORK FIXED ASSET'!D37</f>
        <v>322048.61</v>
      </c>
      <c r="E20" s="14">
        <f>'RUF WORK FIXED ASSET'!E37</f>
        <v>0</v>
      </c>
      <c r="F20" s="14">
        <f>'RUF WORK FIXED ASSET'!F37</f>
        <v>0</v>
      </c>
      <c r="G20" s="14">
        <f>'RUF WORK FIXED ASSET'!G37</f>
        <v>0</v>
      </c>
      <c r="H20" s="14">
        <f>'RUF WORK FIXED ASSET'!H37</f>
        <v>322048.61</v>
      </c>
      <c r="I20" s="14">
        <f>'RUF WORK FIXED ASSET'!I37</f>
        <v>80512.6025</v>
      </c>
      <c r="J20" s="14">
        <f>'RUF WORK FIXED ASSET'!J37</f>
        <v>107349.53</v>
      </c>
      <c r="K20" s="14">
        <f>'RUF WORK FIXED ASSET'!K37</f>
        <v>241535.9975</v>
      </c>
    </row>
    <row r="21" spans="1:11" ht="12.75">
      <c r="A21" s="55"/>
      <c r="C21" s="57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>
        <f>A20+1</f>
        <v>6</v>
      </c>
      <c r="B22" s="5" t="s">
        <v>625</v>
      </c>
      <c r="C22" s="56">
        <v>0.25</v>
      </c>
      <c r="D22" s="14">
        <f>'RUF WORK FIXED ASSET'!D43</f>
        <v>85425.81</v>
      </c>
      <c r="E22" s="14">
        <f>'RUF WORK FIXED ASSET'!E43</f>
        <v>38722</v>
      </c>
      <c r="F22" s="14">
        <f>'RUF WORK FIXED ASSET'!F43</f>
        <v>0</v>
      </c>
      <c r="G22" s="14">
        <f>'RUF WORK FIXED ASSET'!G43</f>
        <v>400.46</v>
      </c>
      <c r="H22" s="14">
        <f>'RUF WORK FIXED ASSET'!H43</f>
        <v>123747.34999999999</v>
      </c>
      <c r="I22" s="14">
        <f>'RUF WORK FIXED ASSET'!I43</f>
        <v>30937.347499999996</v>
      </c>
      <c r="J22" s="14">
        <f>'RUF WORK FIXED ASSET'!J43</f>
        <v>26079.4425</v>
      </c>
      <c r="K22" s="14">
        <f>'RUF WORK FIXED ASSET'!K43</f>
        <v>92810.0025</v>
      </c>
    </row>
    <row r="23" spans="1:11" ht="12.75">
      <c r="A23" s="55"/>
      <c r="C23" s="56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55">
        <f>A22+1</f>
        <v>7</v>
      </c>
      <c r="B24" s="5" t="s">
        <v>626</v>
      </c>
      <c r="C24" s="56">
        <v>0.25</v>
      </c>
      <c r="D24" s="14">
        <f>'RUF WORK FIXED ASSET'!D45</f>
        <v>521718.75</v>
      </c>
      <c r="E24" s="14">
        <f>'RUF WORK FIXED ASSET'!E45</f>
        <v>0</v>
      </c>
      <c r="F24" s="14">
        <f>'RUF WORK FIXED ASSET'!F45</f>
        <v>0</v>
      </c>
      <c r="G24" s="14">
        <f>'RUF WORK FIXED ASSET'!G45</f>
        <v>0</v>
      </c>
      <c r="H24" s="14">
        <f>'RUF WORK FIXED ASSET'!H45</f>
        <v>521718.75</v>
      </c>
      <c r="I24" s="14">
        <f>'RUF WORK FIXED ASSET'!I45</f>
        <v>130429.7475</v>
      </c>
      <c r="J24" s="14">
        <f>'RUF WORK FIXED ASSET'!J45</f>
        <v>173906.25</v>
      </c>
      <c r="K24" s="14">
        <f>'RUF WORK FIXED ASSET'!K45</f>
        <v>391289.0025</v>
      </c>
    </row>
    <row r="25" spans="1:11" ht="12.75">
      <c r="A25" s="55"/>
      <c r="C25" s="56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55">
        <f>A24+1</f>
        <v>8</v>
      </c>
      <c r="B26" s="5" t="s">
        <v>627</v>
      </c>
      <c r="C26" s="56">
        <v>0.25</v>
      </c>
      <c r="D26" s="14">
        <f>'RUF WORK FIXED ASSET'!D49</f>
        <v>15662.61</v>
      </c>
      <c r="E26" s="14">
        <f>'RUF WORK FIXED ASSET'!E49</f>
        <v>0</v>
      </c>
      <c r="F26" s="14">
        <f>'RUF WORK FIXED ASSET'!F49</f>
        <v>9700</v>
      </c>
      <c r="G26" s="14">
        <f>'RUF WORK FIXED ASSET'!G49</f>
        <v>0</v>
      </c>
      <c r="H26" s="14">
        <f>'RUF WORK FIXED ASSET'!H49</f>
        <v>25362.61</v>
      </c>
      <c r="I26" s="14">
        <f>'RUF WORK FIXED ASSET'!I49</f>
        <v>5128.6125</v>
      </c>
      <c r="J26" s="14">
        <f>'RUF WORK FIXED ASSET'!J49</f>
        <v>5220.87</v>
      </c>
      <c r="K26" s="14">
        <f>'RUF WORK FIXED ASSET'!K49</f>
        <v>20233.9975</v>
      </c>
    </row>
    <row r="27" spans="1:11" ht="12.75">
      <c r="A27" s="55"/>
      <c r="C27" s="56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55">
        <f>A26+1</f>
        <v>9</v>
      </c>
      <c r="B28" s="5" t="s">
        <v>628</v>
      </c>
      <c r="C28" s="56">
        <v>0.25</v>
      </c>
      <c r="D28" s="14">
        <f>'RUF WORK FIXED ASSET'!D52</f>
        <v>73199.47</v>
      </c>
      <c r="E28" s="14">
        <f>'RUF WORK FIXED ASSET'!E52</f>
        <v>0</v>
      </c>
      <c r="F28" s="14">
        <f>'RUF WORK FIXED ASSET'!F52</f>
        <v>0</v>
      </c>
      <c r="G28" s="14">
        <f>'RUF WORK FIXED ASSET'!G52</f>
        <v>0</v>
      </c>
      <c r="H28" s="14">
        <f>'RUF WORK FIXED ASSET'!H52</f>
        <v>73199.47</v>
      </c>
      <c r="I28" s="14">
        <f>'RUF WORK FIXED ASSET'!I52</f>
        <v>18299.4675</v>
      </c>
      <c r="J28" s="14">
        <f>'RUF WORK FIXED ASSET'!J52</f>
        <v>24399.83</v>
      </c>
      <c r="K28" s="14">
        <f>'RUF WORK FIXED ASSET'!K52</f>
        <v>54900.0025</v>
      </c>
    </row>
    <row r="29" spans="1:11" ht="12.75">
      <c r="A29" s="55"/>
      <c r="C29" s="56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55">
        <f>A28+1</f>
        <v>10</v>
      </c>
      <c r="B30" s="5" t="s">
        <v>629</v>
      </c>
      <c r="C30" s="56">
        <v>0.25</v>
      </c>
      <c r="D30" s="14">
        <f>'RUF WORK FIXED ASSET'!D56</f>
        <v>3781.62</v>
      </c>
      <c r="E30" s="14">
        <f>'RUF WORK FIXED ASSET'!E56</f>
        <v>67500</v>
      </c>
      <c r="F30" s="14">
        <f>'RUF WORK FIXED ASSET'!F56</f>
        <v>0</v>
      </c>
      <c r="G30" s="14">
        <f>'RUF WORK FIXED ASSET'!G56</f>
        <v>0</v>
      </c>
      <c r="H30" s="14">
        <f>'RUF WORK FIXED ASSET'!H56</f>
        <v>71281.62</v>
      </c>
      <c r="I30" s="14">
        <f>'RUF WORK FIXED ASSET'!I56</f>
        <v>31838.620000000003</v>
      </c>
      <c r="J30" s="14">
        <f>'RUF WORK FIXED ASSET'!J56</f>
        <v>3781.63</v>
      </c>
      <c r="K30" s="14">
        <f>'RUF WORK FIXED ASSET'!K56</f>
        <v>39443</v>
      </c>
    </row>
    <row r="31" spans="1:11" ht="12.75">
      <c r="A31" s="55"/>
      <c r="C31" s="56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55">
        <f>A30+1</f>
        <v>11</v>
      </c>
      <c r="B32" s="5" t="s">
        <v>630</v>
      </c>
      <c r="C32" s="56">
        <v>0.25</v>
      </c>
      <c r="D32" s="14">
        <f>'RUF WORK FIXED ASSET'!D59</f>
        <v>32927.36</v>
      </c>
      <c r="E32" s="14">
        <f>'RUF WORK FIXED ASSET'!E59</f>
        <v>0</v>
      </c>
      <c r="F32" s="14">
        <f>'RUF WORK FIXED ASSET'!F59</f>
        <v>0</v>
      </c>
      <c r="G32" s="14">
        <f>'RUF WORK FIXED ASSET'!G59</f>
        <v>0</v>
      </c>
      <c r="H32" s="14">
        <f>'RUF WORK FIXED ASSET'!H59</f>
        <v>32927.36</v>
      </c>
      <c r="I32" s="14">
        <f>'RUF WORK FIXED ASSET'!I59</f>
        <v>8231.36</v>
      </c>
      <c r="J32" s="14">
        <f>'RUF WORK FIXED ASSET'!J59</f>
        <v>10975.78</v>
      </c>
      <c r="K32" s="14">
        <f>'RUF WORK FIXED ASSET'!K59</f>
        <v>24696</v>
      </c>
    </row>
    <row r="33" spans="1:11" ht="12.75">
      <c r="A33" s="55"/>
      <c r="C33" s="56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55">
        <f>A32+1</f>
        <v>12</v>
      </c>
      <c r="B34" s="5" t="s">
        <v>631</v>
      </c>
      <c r="C34" s="56">
        <v>0.15</v>
      </c>
      <c r="D34" s="14">
        <f>'RUF WORK FIXED ASSET'!D66</f>
        <v>5299568.9</v>
      </c>
      <c r="E34" s="14">
        <f>'RUF WORK FIXED ASSET'!E66</f>
        <v>916108</v>
      </c>
      <c r="F34" s="14">
        <f>'RUF WORK FIXED ASSET'!F66</f>
        <v>349288</v>
      </c>
      <c r="G34" s="14">
        <f>'RUF WORK FIXED ASSET'!G66</f>
        <v>0</v>
      </c>
      <c r="H34" s="14">
        <f>'RUF WORK FIXED ASSET'!H66</f>
        <v>6564964.9</v>
      </c>
      <c r="I34" s="14">
        <f>'RUF WORK FIXED ASSET'!I66</f>
        <v>958546.895</v>
      </c>
      <c r="J34" s="14">
        <f>'RUF WORK FIXED ASSET'!J66</f>
        <v>863190.2535000001</v>
      </c>
      <c r="K34" s="14">
        <f>'RUF WORK FIXED ASSET'!K66</f>
        <v>5606417.9969999995</v>
      </c>
    </row>
    <row r="35" spans="1:11" ht="12.75">
      <c r="A35" s="55"/>
      <c r="C35" s="56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55">
        <f>A34+1</f>
        <v>13</v>
      </c>
      <c r="B36" s="5" t="s">
        <v>632</v>
      </c>
      <c r="C36" s="56">
        <v>0.25</v>
      </c>
      <c r="D36" s="14">
        <f>'RUF WORK FIXED ASSET'!D70</f>
        <v>23787.489999999998</v>
      </c>
      <c r="E36" s="14">
        <f>'RUF WORK FIXED ASSET'!E70</f>
        <v>0</v>
      </c>
      <c r="F36" s="14">
        <f>'RUF WORK FIXED ASSET'!F70</f>
        <v>8000</v>
      </c>
      <c r="G36" s="14">
        <f>'RUF WORK FIXED ASSET'!G70</f>
        <v>0</v>
      </c>
      <c r="H36" s="14">
        <f>'RUF WORK FIXED ASSET'!H70</f>
        <v>31787.489999999998</v>
      </c>
      <c r="I36" s="14">
        <f>'RUF WORK FIXED ASSET'!I70</f>
        <v>6947.4825</v>
      </c>
      <c r="J36" s="14">
        <f>'RUF WORK FIXED ASSET'!J70</f>
        <v>3929.16</v>
      </c>
      <c r="K36" s="14">
        <f>'RUF WORK FIXED ASSET'!K70</f>
        <v>24839.997499999998</v>
      </c>
    </row>
    <row r="37" spans="1:11" ht="12.75">
      <c r="A37" s="55"/>
      <c r="C37" s="56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55">
        <f>A36+1</f>
        <v>14</v>
      </c>
      <c r="B38" s="5" t="s">
        <v>633</v>
      </c>
      <c r="C38" s="56">
        <v>0.25</v>
      </c>
      <c r="D38" s="14">
        <f>'RUF WORK FIXED ASSET'!D73</f>
        <v>39771.23</v>
      </c>
      <c r="E38" s="14">
        <f>'RUF WORK FIXED ASSET'!E73</f>
        <v>16815</v>
      </c>
      <c r="F38" s="14">
        <f>'RUF WORK FIXED ASSET'!F73</f>
        <v>0</v>
      </c>
      <c r="G38" s="14">
        <f>'RUF WORK FIXED ASSET'!G73</f>
        <v>0</v>
      </c>
      <c r="H38" s="14">
        <f>'RUF WORK FIXED ASSET'!H73</f>
        <v>56586.23</v>
      </c>
      <c r="I38" s="14">
        <f>'RUF WORK FIXED ASSET'!I73</f>
        <v>14146.2275</v>
      </c>
      <c r="J38" s="14">
        <f>'RUF WORK FIXED ASSET'!J73</f>
        <v>10735.41</v>
      </c>
      <c r="K38" s="14">
        <f>'RUF WORK FIXED ASSET'!K73</f>
        <v>42440.0025</v>
      </c>
    </row>
    <row r="39" spans="1:11" ht="12.75">
      <c r="A39" s="55"/>
      <c r="C39" s="56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55">
        <f>A38+1</f>
        <v>15</v>
      </c>
      <c r="B40" s="5" t="s">
        <v>634</v>
      </c>
      <c r="C40" s="56">
        <v>0.25</v>
      </c>
      <c r="D40" s="14">
        <f>'RUF WORK FIXED ASSET'!D76</f>
        <v>95138.02</v>
      </c>
      <c r="E40" s="14">
        <f>'RUF WORK FIXED ASSET'!E76</f>
        <v>47084</v>
      </c>
      <c r="F40" s="14">
        <f>'RUF WORK FIXED ASSET'!F76</f>
        <v>4561</v>
      </c>
      <c r="G40" s="14">
        <f>'RUF WORK FIXED ASSET'!G76</f>
        <v>0</v>
      </c>
      <c r="H40" s="14">
        <f>'RUF WORK FIXED ASSET'!H76</f>
        <v>146783.02000000002</v>
      </c>
      <c r="I40" s="14">
        <f>'RUF WORK FIXED ASSET'!I76</f>
        <v>36126.020000000004</v>
      </c>
      <c r="J40" s="14">
        <f>'RUF WORK FIXED ASSET'!J76</f>
        <v>25491.352499999997</v>
      </c>
      <c r="K40" s="14">
        <f>'RUF WORK FIXED ASSET'!K76</f>
        <v>110657.00000000001</v>
      </c>
    </row>
    <row r="41" spans="1:11" ht="12.75">
      <c r="A41" s="55"/>
      <c r="C41" s="56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55">
        <f>A40+1</f>
        <v>16</v>
      </c>
      <c r="B42" s="5" t="s">
        <v>635</v>
      </c>
      <c r="C42" s="56">
        <v>0.25</v>
      </c>
      <c r="D42" s="14">
        <f>'RUF WORK FIXED ASSET'!D87</f>
        <v>1261052.45</v>
      </c>
      <c r="E42" s="14">
        <f>'RUF WORK FIXED ASSET'!E87</f>
        <v>60069</v>
      </c>
      <c r="F42" s="14">
        <f>'RUF WORK FIXED ASSET'!F87</f>
        <v>2825794</v>
      </c>
      <c r="G42" s="14">
        <f>'RUF WORK FIXED ASSET'!G87</f>
        <v>12750</v>
      </c>
      <c r="H42" s="14">
        <f>'RUF WORK FIXED ASSET'!H87</f>
        <v>4134165.45</v>
      </c>
      <c r="I42" s="14">
        <f>'RUF WORK FIXED ASSET'!I87</f>
        <v>681911.4224999999</v>
      </c>
      <c r="J42" s="14">
        <f>'RUF WORK FIXED ASSET'!J87</f>
        <v>372520.98</v>
      </c>
      <c r="K42" s="14">
        <f>'RUF WORK FIXED ASSET'!K87</f>
        <v>3452253.9955000007</v>
      </c>
    </row>
    <row r="43" spans="1:11" ht="12.75">
      <c r="A43" s="55"/>
      <c r="C43" s="56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55">
        <f>A42+1</f>
        <v>17</v>
      </c>
      <c r="B44" s="5" t="s">
        <v>636</v>
      </c>
      <c r="C44" s="56">
        <v>0.25</v>
      </c>
      <c r="D44" s="14">
        <f>'RUF WORK FIXED ASSET'!D91</f>
        <v>5690.56</v>
      </c>
      <c r="E44" s="14">
        <f>'RUF WORK FIXED ASSET'!E91</f>
        <v>18000</v>
      </c>
      <c r="F44" s="14">
        <f>'RUF WORK FIXED ASSET'!F91</f>
        <v>0</v>
      </c>
      <c r="G44" s="14">
        <f>'RUF WORK FIXED ASSET'!G91</f>
        <v>0</v>
      </c>
      <c r="H44" s="14">
        <f>'RUF WORK FIXED ASSET'!H91</f>
        <v>23690.56</v>
      </c>
      <c r="I44" s="14">
        <f>'RUF WORK FIXED ASSET'!I91</f>
        <v>5922.56</v>
      </c>
      <c r="J44" s="14">
        <f>'RUF WORK FIXED ASSET'!J91</f>
        <v>1896.86</v>
      </c>
      <c r="K44" s="14">
        <f>'RUF WORK FIXED ASSET'!K91</f>
        <v>17768</v>
      </c>
    </row>
    <row r="45" spans="1:11" ht="12.75">
      <c r="A45" s="55"/>
      <c r="C45" s="56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55">
        <f>A44+1</f>
        <v>18</v>
      </c>
      <c r="B46" s="5" t="s">
        <v>637</v>
      </c>
      <c r="C46" s="56">
        <v>0.25</v>
      </c>
      <c r="D46" s="14">
        <f>'RUF WORK FIXED ASSET'!D96</f>
        <v>1663088.87</v>
      </c>
      <c r="E46" s="14">
        <f>'RUF WORK FIXED ASSET'!E96</f>
        <v>172829.5</v>
      </c>
      <c r="F46" s="14">
        <f>'RUF WORK FIXED ASSET'!F96</f>
        <v>541967</v>
      </c>
      <c r="G46" s="14">
        <f>'RUF WORK FIXED ASSET'!G96</f>
        <v>0</v>
      </c>
      <c r="H46" s="14">
        <f>'RUF WORK FIXED ASSET'!H96</f>
        <v>2377885.37</v>
      </c>
      <c r="I46" s="14">
        <f>'RUF WORK FIXED ASSET'!I96</f>
        <v>526725.3675</v>
      </c>
      <c r="J46" s="14">
        <f>'RUF WORK FIXED ASSET'!J96</f>
        <v>474061.63</v>
      </c>
      <c r="K46" s="14">
        <f>'RUF WORK FIXED ASSET'!K96</f>
        <v>1851159.9975</v>
      </c>
    </row>
    <row r="47" spans="1:11" ht="12.75">
      <c r="A47" s="55"/>
      <c r="C47" s="56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55">
        <f>A46+1</f>
        <v>19</v>
      </c>
      <c r="B48" s="5" t="s">
        <v>638</v>
      </c>
      <c r="C48" s="56">
        <v>0.25</v>
      </c>
      <c r="D48" s="14">
        <f>'RUF WORK FIXED ASSET'!D100</f>
        <v>15812.75</v>
      </c>
      <c r="E48" s="14">
        <f>'RUF WORK FIXED ASSET'!E100</f>
        <v>3795</v>
      </c>
      <c r="F48" s="14">
        <f>'RUF WORK FIXED ASSET'!F100</f>
        <v>1800</v>
      </c>
      <c r="G48" s="14">
        <f>'RUF WORK FIXED ASSET'!G100</f>
        <v>0</v>
      </c>
      <c r="H48" s="14">
        <f>'RUF WORK FIXED ASSET'!H100</f>
        <v>21407.75</v>
      </c>
      <c r="I48" s="14">
        <f>'RUF WORK FIXED ASSET'!I100</f>
        <v>5126.7475</v>
      </c>
      <c r="J48" s="14">
        <f>'RUF WORK FIXED ASSET'!J100</f>
        <v>4187.59</v>
      </c>
      <c r="K48" s="14">
        <f>'RUF WORK FIXED ASSET'!K100</f>
        <v>16281.0005</v>
      </c>
    </row>
    <row r="49" spans="1:11" ht="12.75">
      <c r="A49" s="55"/>
      <c r="C49" s="56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55">
        <f>A48+1</f>
        <v>20</v>
      </c>
      <c r="B50" s="5" t="s">
        <v>639</v>
      </c>
      <c r="C50" s="56">
        <v>0.25</v>
      </c>
      <c r="D50" s="14">
        <f>'RUF WORK FIXED ASSET'!D106</f>
        <v>331286.59</v>
      </c>
      <c r="E50" s="14">
        <f>'RUF WORK FIXED ASSET'!E106</f>
        <v>31375</v>
      </c>
      <c r="F50" s="14">
        <f>'RUF WORK FIXED ASSET'!F106</f>
        <v>103926</v>
      </c>
      <c r="G50" s="14">
        <f>'RUF WORK FIXED ASSET'!G106</f>
        <v>0</v>
      </c>
      <c r="H50" s="14">
        <f>'RUF WORK FIXED ASSET'!H106</f>
        <v>466587.59</v>
      </c>
      <c r="I50" s="14">
        <f>'RUF WORK FIXED ASSET'!I106</f>
        <v>103655.5875</v>
      </c>
      <c r="J50" s="14">
        <f>'RUF WORK FIXED ASSET'!J106</f>
        <v>90522.86</v>
      </c>
      <c r="K50" s="14">
        <f>'RUF WORK FIXED ASSET'!K106</f>
        <v>362932.00049999997</v>
      </c>
    </row>
    <row r="51" spans="1:11" ht="12.75">
      <c r="A51" s="55"/>
      <c r="C51" s="56"/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55">
        <f>A50+1</f>
        <v>21</v>
      </c>
      <c r="B52" s="5" t="s">
        <v>640</v>
      </c>
      <c r="C52" s="56">
        <v>0.25</v>
      </c>
      <c r="D52" s="14">
        <f>'RUF WORK FIXED ASSET'!D111</f>
        <v>1367616.1099999999</v>
      </c>
      <c r="E52" s="14">
        <f>'RUF WORK FIXED ASSET'!E111</f>
        <v>107992.31</v>
      </c>
      <c r="F52" s="14">
        <f>'RUF WORK FIXED ASSET'!F111</f>
        <v>453166</v>
      </c>
      <c r="G52" s="14">
        <f>'RUF WORK FIXED ASSET'!G111</f>
        <v>0</v>
      </c>
      <c r="H52" s="14">
        <f>'RUF WORK FIXED ASSET'!H111</f>
        <v>1928774.42</v>
      </c>
      <c r="I52" s="14">
        <f>'RUF WORK FIXED ASSET'!I111</f>
        <v>425548.41500000004</v>
      </c>
      <c r="J52" s="14">
        <f>'RUF WORK FIXED ASSET'!J111</f>
        <v>373069.52</v>
      </c>
      <c r="K52" s="14">
        <f>'RUF WORK FIXED ASSET'!K111</f>
        <v>1503225.995</v>
      </c>
    </row>
    <row r="53" spans="1:11" ht="12.75">
      <c r="A53" s="55"/>
      <c r="C53" s="56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55">
        <f>A52+1</f>
        <v>22</v>
      </c>
      <c r="B54" s="4" t="s">
        <v>641</v>
      </c>
      <c r="C54" s="56">
        <v>0.25</v>
      </c>
      <c r="D54" s="14">
        <f>'RUF WORK FIXED ASSET'!D114</f>
        <v>125560.31</v>
      </c>
      <c r="E54" s="14">
        <f>'RUF WORK FIXED ASSET'!E114</f>
        <v>0</v>
      </c>
      <c r="F54" s="14">
        <f>'RUF WORK FIXED ASSET'!F114</f>
        <v>0</v>
      </c>
      <c r="G54" s="14">
        <f>'RUF WORK FIXED ASSET'!G114</f>
        <v>0</v>
      </c>
      <c r="H54" s="14">
        <f>'RUF WORK FIXED ASSET'!H114</f>
        <v>125560.31</v>
      </c>
      <c r="I54" s="14">
        <f>'RUF WORK FIXED ASSET'!I114</f>
        <v>31390.3075</v>
      </c>
      <c r="J54" s="14">
        <f>'RUF WORK FIXED ASSET'!J114</f>
        <v>41853.44</v>
      </c>
      <c r="K54" s="14">
        <f>'RUF WORK FIXED ASSET'!K114</f>
        <v>94170.0025</v>
      </c>
    </row>
    <row r="55" spans="1:11" ht="12.75">
      <c r="A55" s="55"/>
      <c r="B55" s="4"/>
      <c r="C55" s="56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55">
        <f>A54+1</f>
        <v>23</v>
      </c>
      <c r="B56" s="5" t="s">
        <v>642</v>
      </c>
      <c r="C56" s="56">
        <v>0.25</v>
      </c>
      <c r="D56" s="14">
        <f>'RUF WORK FIXED ASSET'!D118</f>
        <v>120753.42000000001</v>
      </c>
      <c r="E56" s="14">
        <f>'RUF WORK FIXED ASSET'!E118</f>
        <v>0</v>
      </c>
      <c r="F56" s="14">
        <f>'RUF WORK FIXED ASSET'!F118</f>
        <v>0</v>
      </c>
      <c r="G56" s="14">
        <f>'RUF WORK FIXED ASSET'!G118</f>
        <v>0</v>
      </c>
      <c r="H56" s="14">
        <f>'RUF WORK FIXED ASSET'!H118</f>
        <v>120753.42000000001</v>
      </c>
      <c r="I56" s="14">
        <f>'RUF WORK FIXED ASSET'!I118</f>
        <v>30188.414999999997</v>
      </c>
      <c r="J56" s="14">
        <f>'RUF WORK FIXED ASSET'!J118</f>
        <v>40251.14</v>
      </c>
      <c r="K56" s="14">
        <f>'RUF WORK FIXED ASSET'!K118</f>
        <v>90564.995</v>
      </c>
    </row>
    <row r="57" spans="1:11" ht="12.75">
      <c r="A57" s="55"/>
      <c r="C57" s="56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55">
        <f>A56+1</f>
        <v>24</v>
      </c>
      <c r="B58" s="5" t="s">
        <v>643</v>
      </c>
      <c r="C58" s="56">
        <v>0.25</v>
      </c>
      <c r="D58" s="14">
        <f>'RUF WORK FIXED ASSET'!D121</f>
        <v>125806.4</v>
      </c>
      <c r="E58" s="14">
        <f>'RUF WORK FIXED ASSET'!E121</f>
        <v>0</v>
      </c>
      <c r="F58" s="14">
        <f>'RUF WORK FIXED ASSET'!F121</f>
        <v>19487</v>
      </c>
      <c r="G58" s="14">
        <f>'RUF WORK FIXED ASSET'!G121</f>
        <v>0</v>
      </c>
      <c r="H58" s="14">
        <f>'RUF WORK FIXED ASSET'!H121</f>
        <v>145293.4</v>
      </c>
      <c r="I58" s="14">
        <f>'RUF WORK FIXED ASSET'!I121</f>
        <v>33887.405</v>
      </c>
      <c r="J58" s="14">
        <f>'RUF WORK FIXED ASSET'!J121</f>
        <v>41935.47</v>
      </c>
      <c r="K58" s="14">
        <f>'RUF WORK FIXED ASSET'!K121</f>
        <v>111405.995</v>
      </c>
    </row>
    <row r="59" spans="1:11" ht="12.75">
      <c r="A59" s="55"/>
      <c r="C59" s="56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55">
        <f>A58+1</f>
        <v>25</v>
      </c>
      <c r="B60" s="5" t="s">
        <v>644</v>
      </c>
      <c r="C60" s="56">
        <v>0.25</v>
      </c>
      <c r="D60" s="14">
        <f>'RUF WORK FIXED ASSET'!D124</f>
        <v>117018.98</v>
      </c>
      <c r="E60" s="14">
        <f>'RUF WORK FIXED ASSET'!E124</f>
        <v>81446</v>
      </c>
      <c r="F60" s="14">
        <f>'RUF WORK FIXED ASSET'!F124</f>
        <v>0</v>
      </c>
      <c r="G60" s="14">
        <f>'RUF WORK FIXED ASSET'!G124</f>
        <v>0</v>
      </c>
      <c r="H60" s="14">
        <f>'RUF WORK FIXED ASSET'!H124</f>
        <v>198464.97999999998</v>
      </c>
      <c r="I60" s="14">
        <f>'RUF WORK FIXED ASSET'!I124</f>
        <v>49615.975</v>
      </c>
      <c r="J60" s="14">
        <f>'RUF WORK FIXED ASSET'!J124</f>
        <v>39006.3275</v>
      </c>
      <c r="K60" s="14">
        <f>'RUF WORK FIXED ASSET'!K124</f>
        <v>148848.99499999997</v>
      </c>
    </row>
    <row r="61" spans="1:11" ht="12.75">
      <c r="A61" s="55"/>
      <c r="C61" s="56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55">
        <f>A60+1</f>
        <v>26</v>
      </c>
      <c r="B62" s="5" t="s">
        <v>645</v>
      </c>
      <c r="C62" s="56">
        <v>0.25</v>
      </c>
      <c r="D62" s="14">
        <f>'RUF WORK FIXED ASSET'!D130</f>
        <v>173210.31</v>
      </c>
      <c r="E62" s="14">
        <f>'RUF WORK FIXED ASSET'!E130</f>
        <v>110000</v>
      </c>
      <c r="F62" s="14">
        <f>'RUF WORK FIXED ASSET'!F130</f>
        <v>28000</v>
      </c>
      <c r="G62" s="14">
        <f>'RUF WORK FIXED ASSET'!G130</f>
        <v>83.15</v>
      </c>
      <c r="H62" s="14">
        <f>'RUF WORK FIXED ASSET'!H130</f>
        <v>311127.16</v>
      </c>
      <c r="I62" s="14">
        <f>'RUF WORK FIXED ASSET'!I130</f>
        <v>74282.16</v>
      </c>
      <c r="J62" s="14">
        <f>'RUF WORK FIXED ASSET'!J130</f>
        <v>57736.770000000004</v>
      </c>
      <c r="K62" s="14">
        <f>'RUF WORK FIXED ASSET'!K130</f>
        <v>236845</v>
      </c>
    </row>
    <row r="63" spans="1:11" ht="12.75">
      <c r="A63" s="55"/>
      <c r="C63" s="56"/>
      <c r="D63" s="14"/>
      <c r="E63" s="14"/>
      <c r="F63" s="14"/>
      <c r="G63" s="14"/>
      <c r="H63" s="14"/>
      <c r="I63" s="14"/>
      <c r="J63" s="14"/>
      <c r="K63" s="14"/>
    </row>
    <row r="64" spans="1:11" ht="12.75">
      <c r="A64" s="55">
        <f>A62+1</f>
        <v>27</v>
      </c>
      <c r="B64" s="5" t="s">
        <v>646</v>
      </c>
      <c r="C64" s="56">
        <v>0.25</v>
      </c>
      <c r="D64" s="14">
        <f>'RUF WORK FIXED ASSET'!D136</f>
        <v>53202.67</v>
      </c>
      <c r="E64" s="14">
        <f>'RUF WORK FIXED ASSET'!E136</f>
        <v>78390</v>
      </c>
      <c r="F64" s="14">
        <f>'RUF WORK FIXED ASSET'!F136</f>
        <v>71425</v>
      </c>
      <c r="G64" s="14">
        <f>'RUF WORK FIXED ASSET'!G136</f>
        <v>53.83</v>
      </c>
      <c r="H64" s="14">
        <f>'RUF WORK FIXED ASSET'!H136</f>
        <v>202963.84000000003</v>
      </c>
      <c r="I64" s="14">
        <f>'RUF WORK FIXED ASSET'!I136</f>
        <v>41812.83500000001</v>
      </c>
      <c r="J64" s="14">
        <f>'RUF WORK FIXED ASSET'!J136</f>
        <v>17734.22</v>
      </c>
      <c r="K64" s="14">
        <f>'RUF WORK FIXED ASSET'!K136</f>
        <v>161150.995</v>
      </c>
    </row>
    <row r="65" spans="1:11" ht="12.75">
      <c r="A65" s="55"/>
      <c r="C65" s="56"/>
      <c r="D65" s="14"/>
      <c r="E65" s="14"/>
      <c r="F65" s="14"/>
      <c r="G65" s="14"/>
      <c r="H65" s="14"/>
      <c r="I65" s="14"/>
      <c r="J65" s="14"/>
      <c r="K65" s="14"/>
    </row>
    <row r="66" spans="1:11" ht="12.75">
      <c r="A66" s="55">
        <f>A64+1</f>
        <v>28</v>
      </c>
      <c r="B66" s="5" t="s">
        <v>647</v>
      </c>
      <c r="C66" s="56">
        <v>0.25</v>
      </c>
      <c r="D66" s="14">
        <f>'RUF WORK FIXED ASSET'!D142</f>
        <v>199847.62</v>
      </c>
      <c r="E66" s="14">
        <f>'RUF WORK FIXED ASSET'!E142</f>
        <v>1053360</v>
      </c>
      <c r="F66" s="14">
        <f>'RUF WORK FIXED ASSET'!F142</f>
        <v>53190</v>
      </c>
      <c r="G66" s="14">
        <f>'RUF WORK FIXED ASSET'!G142</f>
        <v>12996</v>
      </c>
      <c r="H66" s="14">
        <f>'RUF WORK FIXED ASSET'!H142</f>
        <v>1293401.6199999999</v>
      </c>
      <c r="I66" s="14">
        <f>'RUF WORK FIXED ASSET'!I142</f>
        <v>318326.615</v>
      </c>
      <c r="J66" s="14">
        <f>'RUF WORK FIXED ASSET'!J142</f>
        <v>60832.54</v>
      </c>
      <c r="K66" s="14">
        <f>'RUF WORK FIXED ASSET'!K142</f>
        <v>975074.9959999999</v>
      </c>
    </row>
    <row r="67" spans="1:11" ht="12.75">
      <c r="A67" s="55"/>
      <c r="C67" s="56"/>
      <c r="D67" s="14"/>
      <c r="E67" s="14"/>
      <c r="F67" s="14"/>
      <c r="G67" s="14"/>
      <c r="H67" s="14"/>
      <c r="I67" s="14"/>
      <c r="J67" s="14"/>
      <c r="K67" s="14"/>
    </row>
    <row r="68" spans="1:11" ht="12.75">
      <c r="A68" s="55">
        <f>A66+1</f>
        <v>29</v>
      </c>
      <c r="B68" s="5" t="s">
        <v>648</v>
      </c>
      <c r="C68" s="56">
        <v>0.25</v>
      </c>
      <c r="D68" s="14">
        <f>'RUF WORK FIXED ASSET'!D147</f>
        <v>15799.98</v>
      </c>
      <c r="E68" s="14">
        <f>'RUF WORK FIXED ASSET'!E147</f>
        <v>0</v>
      </c>
      <c r="F68" s="14">
        <f>'RUF WORK FIXED ASSET'!F147</f>
        <v>83794</v>
      </c>
      <c r="G68" s="14">
        <f>'RUF WORK FIXED ASSET'!G147</f>
        <v>12271.98</v>
      </c>
      <c r="H68" s="14">
        <f>'RUF WORK FIXED ASSET'!H147</f>
        <v>87322</v>
      </c>
      <c r="I68" s="14">
        <f>'RUF WORK FIXED ASSET'!I147</f>
        <v>14003.000739726027</v>
      </c>
      <c r="J68" s="14">
        <f>'RUF WORK FIXED ASSET'!J147</f>
        <v>5266.66</v>
      </c>
      <c r="K68" s="14">
        <f>'RUF WORK FIXED ASSET'!K147</f>
        <v>73318.99926027397</v>
      </c>
    </row>
    <row r="69" spans="1:11" ht="12.75">
      <c r="A69" s="55"/>
      <c r="C69" s="56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55">
        <f>A68+1</f>
        <v>30</v>
      </c>
      <c r="B70" s="4" t="s">
        <v>649</v>
      </c>
      <c r="C70" s="56">
        <v>0.25</v>
      </c>
      <c r="D70" s="14">
        <f>'RUF WORK FIXED ASSET'!D150</f>
        <v>92.56</v>
      </c>
      <c r="E70" s="14">
        <f>'RUF WORK FIXED ASSET'!E150</f>
        <v>0</v>
      </c>
      <c r="F70" s="14">
        <f>'RUF WORK FIXED ASSET'!F150</f>
        <v>0</v>
      </c>
      <c r="G70" s="14">
        <f>'RUF WORK FIXED ASSET'!G150</f>
        <v>92.56</v>
      </c>
      <c r="H70" s="14">
        <f>'RUF WORK FIXED ASSET'!H150</f>
        <v>0</v>
      </c>
      <c r="I70" s="14">
        <f>'RUF WORK FIXED ASSET'!I150</f>
        <v>0</v>
      </c>
      <c r="J70" s="14">
        <f>'RUF WORK FIXED ASSET'!J150</f>
        <v>30.85</v>
      </c>
      <c r="K70" s="14">
        <f>'RUF WORK FIXED ASSET'!K150</f>
        <v>0</v>
      </c>
    </row>
    <row r="71" spans="1:11" ht="12.75">
      <c r="A71" s="55"/>
      <c r="B71" s="4"/>
      <c r="C71" s="56"/>
      <c r="D71" s="14"/>
      <c r="E71" s="14"/>
      <c r="F71" s="14"/>
      <c r="G71" s="14"/>
      <c r="H71" s="14"/>
      <c r="I71" s="14"/>
      <c r="J71" s="14"/>
      <c r="K71" s="14"/>
    </row>
    <row r="72" spans="1:11" ht="12.75">
      <c r="A72" s="55">
        <f>A70+1</f>
        <v>31</v>
      </c>
      <c r="B72" s="5" t="s">
        <v>650</v>
      </c>
      <c r="C72" s="56">
        <v>0.2</v>
      </c>
      <c r="D72" s="14">
        <f>'RUF WORK FIXED ASSET'!D179</f>
        <v>4571787.41</v>
      </c>
      <c r="E72" s="14">
        <f>'RUF WORK FIXED ASSET'!E179</f>
        <v>5026636</v>
      </c>
      <c r="F72" s="14">
        <f>'RUF WORK FIXED ASSET'!F179</f>
        <v>8087910</v>
      </c>
      <c r="G72" s="14">
        <f>'RUF WORK FIXED ASSET'!G179</f>
        <v>0</v>
      </c>
      <c r="H72" s="14">
        <f>'RUF WORK FIXED ASSET'!H179</f>
        <v>17686333.41</v>
      </c>
      <c r="I72" s="14">
        <f>'RUF WORK FIXED ASSET'!I179</f>
        <v>2728708.412</v>
      </c>
      <c r="J72" s="14">
        <f>'RUF WORK FIXED ASSET'!J179</f>
        <v>1142010.42</v>
      </c>
      <c r="K72" s="14">
        <f>'RUF WORK FIXED ASSET'!K179</f>
        <v>14957624.998</v>
      </c>
    </row>
    <row r="73" spans="1:11" ht="12.75">
      <c r="A73" s="55"/>
      <c r="C73" s="56"/>
      <c r="D73" s="14"/>
      <c r="E73" s="14"/>
      <c r="F73" s="14"/>
      <c r="G73" s="14"/>
      <c r="H73" s="14"/>
      <c r="I73" s="14"/>
      <c r="J73" s="14"/>
      <c r="K73" s="14"/>
    </row>
    <row r="74" spans="1:11" ht="12.75">
      <c r="A74" s="55">
        <f>A72+1</f>
        <v>32</v>
      </c>
      <c r="B74" s="5" t="s">
        <v>843</v>
      </c>
      <c r="C74" s="56">
        <v>0.25</v>
      </c>
      <c r="D74" s="14">
        <f>'RUF WORK FIXED ASSET'!D183</f>
        <v>0</v>
      </c>
      <c r="E74" s="14">
        <f>'RUF WORK FIXED ASSET'!E183</f>
        <v>0</v>
      </c>
      <c r="F74" s="14">
        <f>'RUF WORK FIXED ASSET'!F183</f>
        <v>251900</v>
      </c>
      <c r="G74" s="14">
        <f>'RUF WORK FIXED ASSET'!G183</f>
        <v>0</v>
      </c>
      <c r="H74" s="14">
        <f>'RUF WORK FIXED ASSET'!H183</f>
        <v>251900</v>
      </c>
      <c r="I74" s="14">
        <f>'RUF WORK FIXED ASSET'!I183</f>
        <v>31488</v>
      </c>
      <c r="J74" s="14">
        <f>'RUF WORK FIXED ASSET'!J183</f>
        <v>0</v>
      </c>
      <c r="K74" s="14">
        <f>'RUF WORK FIXED ASSET'!K183</f>
        <v>220412</v>
      </c>
    </row>
    <row r="75" spans="1:11" ht="12.75">
      <c r="A75" s="55"/>
      <c r="C75" s="56"/>
      <c r="D75" s="14"/>
      <c r="E75" s="14"/>
      <c r="F75" s="14"/>
      <c r="G75" s="14"/>
      <c r="H75" s="14"/>
      <c r="I75" s="14"/>
      <c r="J75" s="14"/>
      <c r="K75" s="14"/>
    </row>
    <row r="76" spans="1:11" ht="12.75">
      <c r="A76" s="55">
        <f>A74+1</f>
        <v>33</v>
      </c>
      <c r="B76" s="5" t="s">
        <v>651</v>
      </c>
      <c r="C76" s="56">
        <v>0.25</v>
      </c>
      <c r="D76" s="14">
        <f>'RUF WORK FIXED ASSET'!D186</f>
        <v>169511.86</v>
      </c>
      <c r="E76" s="14">
        <f>'RUF WORK FIXED ASSET'!E186</f>
        <v>65484</v>
      </c>
      <c r="F76" s="14">
        <f>'RUF WORK FIXED ASSET'!F186</f>
        <v>0</v>
      </c>
      <c r="G76" s="14">
        <f>'RUF WORK FIXED ASSET'!G186</f>
        <v>0</v>
      </c>
      <c r="H76" s="14">
        <f>'RUF WORK FIXED ASSET'!H186</f>
        <v>234995.86</v>
      </c>
      <c r="I76" s="14">
        <f>'RUF WORK FIXED ASSET'!I186</f>
        <v>58748.854999999996</v>
      </c>
      <c r="J76" s="14">
        <f>'RUF WORK FIXED ASSET'!J186</f>
        <v>56503.96</v>
      </c>
      <c r="K76" s="14">
        <f>'RUF WORK FIXED ASSET'!K186</f>
        <v>176246.995</v>
      </c>
    </row>
    <row r="77" spans="1:11" ht="12.75">
      <c r="A77" s="55"/>
      <c r="C77" s="56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s="55">
        <f>A76+1</f>
        <v>34</v>
      </c>
      <c r="B78" s="5" t="s">
        <v>652</v>
      </c>
      <c r="C78" s="56">
        <v>0.25</v>
      </c>
      <c r="D78" s="14">
        <f>'RUF WORK FIXED ASSET'!D189</f>
        <v>51786</v>
      </c>
      <c r="E78" s="14">
        <f>'RUF WORK FIXED ASSET'!E189</f>
        <v>48285</v>
      </c>
      <c r="F78" s="14">
        <f>'RUF WORK FIXED ASSET'!F189</f>
        <v>0</v>
      </c>
      <c r="G78" s="14">
        <f>'RUF WORK FIXED ASSET'!G189</f>
        <v>0</v>
      </c>
      <c r="H78" s="14">
        <f>'RUF WORK FIXED ASSET'!H189</f>
        <v>100071</v>
      </c>
      <c r="I78" s="14">
        <f>'RUF WORK FIXED ASSET'!I189</f>
        <v>25018</v>
      </c>
      <c r="J78" s="14">
        <f>'RUF WORK FIXED ASSET'!J189</f>
        <v>17262</v>
      </c>
      <c r="K78" s="14">
        <f>'RUF WORK FIXED ASSET'!K189</f>
        <v>75053</v>
      </c>
    </row>
    <row r="79" spans="1:11" ht="12.75">
      <c r="A79" s="55"/>
      <c r="C79" s="56"/>
      <c r="D79" s="14"/>
      <c r="E79" s="14"/>
      <c r="F79" s="14"/>
      <c r="G79" s="14"/>
      <c r="H79" s="14"/>
      <c r="I79" s="14"/>
      <c r="J79" s="14"/>
      <c r="K79" s="14"/>
    </row>
    <row r="80" spans="1:11" ht="12.75">
      <c r="A80" s="55">
        <f>A78+1</f>
        <v>35</v>
      </c>
      <c r="B80" s="5" t="s">
        <v>653</v>
      </c>
      <c r="C80" s="56">
        <v>0.25</v>
      </c>
      <c r="D80" s="14">
        <f>'RUF WORK FIXED ASSET'!D193</f>
        <v>467860.75</v>
      </c>
      <c r="E80" s="14">
        <f>'RUF WORK FIXED ASSET'!E193</f>
        <v>43617</v>
      </c>
      <c r="F80" s="14">
        <f>'RUF WORK FIXED ASSET'!F193</f>
        <v>0</v>
      </c>
      <c r="G80" s="14">
        <f>'RUF WORK FIXED ASSET'!G193</f>
        <v>0</v>
      </c>
      <c r="H80" s="14">
        <f>'RUF WORK FIXED ASSET'!H193</f>
        <v>511477.75</v>
      </c>
      <c r="I80" s="14">
        <f>'RUF WORK FIXED ASSET'!I193</f>
        <v>127868.7475</v>
      </c>
      <c r="J80" s="14">
        <f>'RUF WORK FIXED ASSET'!J193</f>
        <v>66837.25</v>
      </c>
      <c r="K80" s="14">
        <f>'RUF WORK FIXED ASSET'!K193</f>
        <v>383609.0025</v>
      </c>
    </row>
    <row r="81" spans="1:11" ht="12.75">
      <c r="A81" s="55"/>
      <c r="C81" s="56"/>
      <c r="D81" s="14"/>
      <c r="E81" s="14"/>
      <c r="F81" s="14"/>
      <c r="G81" s="14"/>
      <c r="H81" s="14"/>
      <c r="I81" s="14"/>
      <c r="J81" s="14"/>
      <c r="K81" s="14"/>
    </row>
    <row r="82" spans="1:11" ht="12.75">
      <c r="A82" s="55">
        <f>A80+1</f>
        <v>36</v>
      </c>
      <c r="B82" s="5" t="s">
        <v>654</v>
      </c>
      <c r="C82" s="56">
        <v>0</v>
      </c>
      <c r="D82" s="48">
        <f>'RUF WORK FIXED ASSET'!D196</f>
        <v>2146860</v>
      </c>
      <c r="E82" s="48">
        <f>'RUF WORK FIXED ASSET'!E196</f>
        <v>0</v>
      </c>
      <c r="F82" s="48">
        <f>'RUF WORK FIXED ASSET'!F196</f>
        <v>0</v>
      </c>
      <c r="G82" s="48">
        <f>'RUF WORK FIXED ASSET'!G196</f>
        <v>2146860</v>
      </c>
      <c r="H82" s="48">
        <f>'RUF WORK FIXED ASSET'!H196</f>
        <v>0</v>
      </c>
      <c r="I82" s="48">
        <f>'RUF WORK FIXED ASSET'!I196</f>
        <v>0</v>
      </c>
      <c r="J82" s="48">
        <f>'RUF WORK FIXED ASSET'!J196</f>
        <v>0</v>
      </c>
      <c r="K82" s="48">
        <f>'RUF WORK FIXED ASSET'!K196</f>
        <v>0</v>
      </c>
    </row>
    <row r="83" spans="4:11" ht="12.75">
      <c r="D83" s="34"/>
      <c r="E83" s="34"/>
      <c r="F83" s="34"/>
      <c r="G83" s="34"/>
      <c r="H83" s="34"/>
      <c r="I83" s="34"/>
      <c r="J83" s="34"/>
      <c r="K83" s="34"/>
    </row>
    <row r="84" spans="4:11" ht="13.5" thickBot="1">
      <c r="D84" s="34"/>
      <c r="E84" s="34"/>
      <c r="F84" s="34"/>
      <c r="G84" s="34"/>
      <c r="H84" s="34"/>
      <c r="I84" s="34"/>
      <c r="J84" s="34"/>
      <c r="K84" s="34"/>
    </row>
    <row r="85" spans="3:11" ht="15.75" thickBot="1">
      <c r="C85" s="19" t="s">
        <v>8</v>
      </c>
      <c r="D85" s="83">
        <f>SUM(D12:D82)</f>
        <v>85962904.61000004</v>
      </c>
      <c r="E85" s="84">
        <f aca="true" t="shared" si="0" ref="E85:J85">SUM(E12:E82)</f>
        <v>12994008.809999999</v>
      </c>
      <c r="F85" s="84">
        <f t="shared" si="0"/>
        <v>29210618.05</v>
      </c>
      <c r="G85" s="84">
        <f t="shared" si="0"/>
        <v>2185508.18</v>
      </c>
      <c r="H85" s="84">
        <f t="shared" si="0"/>
        <v>125982023.29</v>
      </c>
      <c r="I85" s="84">
        <f>SUM(I12:I82)+0.084</f>
        <v>14636620.288239727</v>
      </c>
      <c r="J85" s="84">
        <f t="shared" si="0"/>
        <v>11719982.874000002</v>
      </c>
      <c r="K85" s="84">
        <f>SUM(K12:K82)+0.07-0.03</f>
        <v>111345402.99776028</v>
      </c>
    </row>
    <row r="86" spans="3:11" ht="15">
      <c r="C86" s="19"/>
      <c r="D86" s="34"/>
      <c r="E86" s="34"/>
      <c r="F86" s="34"/>
      <c r="G86" s="34"/>
      <c r="H86" s="34"/>
      <c r="I86" s="34"/>
      <c r="J86" s="34"/>
      <c r="K86" s="34"/>
    </row>
    <row r="87" spans="3:11" ht="15">
      <c r="C87" s="19"/>
      <c r="D87" s="34">
        <v>85962904.61000004</v>
      </c>
      <c r="E87" s="34">
        <v>20477138.81</v>
      </c>
      <c r="F87" s="34">
        <v>21727488.05</v>
      </c>
      <c r="G87" s="34">
        <v>2185508.18</v>
      </c>
      <c r="H87" s="34">
        <v>125982023.29</v>
      </c>
      <c r="I87" s="34">
        <v>14636669.288239725</v>
      </c>
      <c r="J87" s="34">
        <v>11719982.874000002</v>
      </c>
      <c r="K87" s="34">
        <v>111345353.9957603</v>
      </c>
    </row>
    <row r="88" spans="3:11" ht="15">
      <c r="C88" s="19"/>
      <c r="D88" s="34"/>
      <c r="E88" s="34"/>
      <c r="F88" s="34"/>
      <c r="G88" s="34"/>
      <c r="H88" s="34"/>
      <c r="I88" s="34"/>
      <c r="J88" s="34"/>
      <c r="K88" s="34"/>
    </row>
    <row r="89" spans="4:11" ht="12.75">
      <c r="D89" s="34">
        <v>85962904.61000004</v>
      </c>
      <c r="E89" s="34">
        <v>20477138.81</v>
      </c>
      <c r="F89" s="34">
        <v>21727488.05</v>
      </c>
      <c r="G89" s="34">
        <v>2185507.98</v>
      </c>
      <c r="H89" s="34">
        <v>125982023.49000001</v>
      </c>
      <c r="I89" s="34">
        <v>14636617.654239725</v>
      </c>
      <c r="J89" s="34">
        <v>11719982.874000002</v>
      </c>
      <c r="K89" s="34">
        <v>111345405.67576031</v>
      </c>
    </row>
    <row r="90" spans="4:11" ht="12.75">
      <c r="D90" s="14"/>
      <c r="E90" s="14"/>
      <c r="F90" s="14"/>
      <c r="G90" s="14"/>
      <c r="H90" s="14"/>
      <c r="I90" s="14"/>
      <c r="J90" s="14"/>
      <c r="K90" s="14"/>
    </row>
    <row r="91" spans="4:11" ht="12.75">
      <c r="D91" s="14"/>
      <c r="E91" s="14"/>
      <c r="F91" s="14"/>
      <c r="G91" s="14"/>
      <c r="H91" s="14"/>
      <c r="I91" s="14"/>
      <c r="J91" s="14"/>
      <c r="K91" s="14"/>
    </row>
    <row r="92" spans="4:11" ht="12.75">
      <c r="D92" s="14"/>
      <c r="E92" s="14"/>
      <c r="F92" s="14"/>
      <c r="G92" s="14"/>
      <c r="H92" s="14"/>
      <c r="I92" s="14"/>
      <c r="J92" s="14"/>
      <c r="K92" s="14"/>
    </row>
    <row r="93" spans="4:11" ht="12.75">
      <c r="D93" s="14"/>
      <c r="E93" s="14"/>
      <c r="F93" s="14"/>
      <c r="G93" s="14"/>
      <c r="H93" s="14"/>
      <c r="I93" s="14"/>
      <c r="J93" s="14"/>
      <c r="K93" s="14"/>
    </row>
    <row r="94" spans="4:11" ht="12.75">
      <c r="D94" s="14"/>
      <c r="E94" s="14"/>
      <c r="F94" s="14"/>
      <c r="G94" s="14"/>
      <c r="H94" s="14"/>
      <c r="I94" s="14"/>
      <c r="J94" s="14"/>
      <c r="K94" s="14"/>
    </row>
    <row r="95" spans="4:11" ht="12.75">
      <c r="D95" s="14"/>
      <c r="E95" s="14"/>
      <c r="F95" s="14"/>
      <c r="G95" s="14"/>
      <c r="H95" s="14"/>
      <c r="I95" s="14"/>
      <c r="J95" s="14"/>
      <c r="K95" s="14"/>
    </row>
    <row r="96" spans="4:11" ht="12.75">
      <c r="D96" s="14"/>
      <c r="E96" s="14"/>
      <c r="F96" s="14"/>
      <c r="G96" s="14"/>
      <c r="H96" s="14"/>
      <c r="I96" s="14"/>
      <c r="J96" s="14"/>
      <c r="K96" s="14"/>
    </row>
    <row r="97" spans="4:11" ht="12.75">
      <c r="D97" s="14"/>
      <c r="E97" s="14"/>
      <c r="F97" s="14"/>
      <c r="G97" s="14"/>
      <c r="H97" s="14"/>
      <c r="I97" s="14"/>
      <c r="J97" s="14"/>
      <c r="K97" s="14"/>
    </row>
    <row r="98" spans="4:11" ht="12.75">
      <c r="D98" s="14"/>
      <c r="E98" s="14"/>
      <c r="F98" s="14"/>
      <c r="G98" s="14"/>
      <c r="H98" s="14"/>
      <c r="I98" s="14"/>
      <c r="J98" s="14"/>
      <c r="K98" s="14"/>
    </row>
    <row r="99" spans="4:11" ht="12.75">
      <c r="D99" s="14"/>
      <c r="E99" s="14"/>
      <c r="F99" s="14"/>
      <c r="G99" s="14"/>
      <c r="H99" s="14"/>
      <c r="I99" s="14"/>
      <c r="J99" s="14"/>
      <c r="K99" s="14"/>
    </row>
    <row r="100" spans="4:11" ht="12.75">
      <c r="D100" s="14"/>
      <c r="E100" s="14"/>
      <c r="F100" s="14"/>
      <c r="G100" s="14"/>
      <c r="H100" s="14"/>
      <c r="I100" s="14"/>
      <c r="J100" s="14"/>
      <c r="K100" s="14"/>
    </row>
    <row r="101" spans="4:11" ht="12.75">
      <c r="D101" s="14"/>
      <c r="E101" s="14"/>
      <c r="F101" s="14"/>
      <c r="G101" s="14"/>
      <c r="H101" s="14"/>
      <c r="I101" s="14"/>
      <c r="J101" s="14"/>
      <c r="K101" s="14"/>
    </row>
    <row r="102" spans="4:11" ht="12.75">
      <c r="D102" s="14"/>
      <c r="E102" s="14"/>
      <c r="F102" s="14"/>
      <c r="G102" s="14"/>
      <c r="H102" s="14"/>
      <c r="I102" s="14"/>
      <c r="J102" s="14"/>
      <c r="K102" s="14"/>
    </row>
    <row r="103" spans="4:11" ht="12.75">
      <c r="D103" s="14"/>
      <c r="E103" s="14"/>
      <c r="F103" s="14"/>
      <c r="G103" s="14"/>
      <c r="H103" s="14"/>
      <c r="I103" s="14"/>
      <c r="J103" s="14"/>
      <c r="K103" s="14"/>
    </row>
    <row r="104" spans="4:11" ht="12.75">
      <c r="D104" s="14"/>
      <c r="E104" s="14"/>
      <c r="F104" s="14"/>
      <c r="G104" s="14"/>
      <c r="H104" s="14"/>
      <c r="I104" s="14"/>
      <c r="J104" s="14"/>
      <c r="K104" s="14"/>
    </row>
    <row r="105" spans="4:11" ht="12.75">
      <c r="D105" s="14"/>
      <c r="E105" s="14"/>
      <c r="F105" s="14"/>
      <c r="G105" s="14"/>
      <c r="H105" s="14"/>
      <c r="I105" s="14"/>
      <c r="J105" s="14"/>
      <c r="K105" s="14"/>
    </row>
    <row r="106" spans="4:11" ht="12.75">
      <c r="D106" s="14"/>
      <c r="E106" s="14"/>
      <c r="F106" s="14"/>
      <c r="G106" s="14"/>
      <c r="H106" s="14"/>
      <c r="I106" s="14"/>
      <c r="J106" s="14"/>
      <c r="K106" s="14"/>
    </row>
    <row r="107" spans="4:11" ht="12.75">
      <c r="D107" s="14"/>
      <c r="E107" s="14"/>
      <c r="F107" s="14"/>
      <c r="G107" s="14"/>
      <c r="H107" s="14"/>
      <c r="I107" s="14"/>
      <c r="J107" s="14"/>
      <c r="K107" s="14"/>
    </row>
    <row r="108" spans="4:11" ht="12.75">
      <c r="D108" s="14"/>
      <c r="E108" s="14"/>
      <c r="F108" s="14"/>
      <c r="G108" s="14"/>
      <c r="H108" s="14"/>
      <c r="I108" s="14"/>
      <c r="J108" s="14"/>
      <c r="K108" s="14"/>
    </row>
    <row r="109" spans="4:11" ht="12.75">
      <c r="D109" s="14"/>
      <c r="E109" s="14"/>
      <c r="F109" s="14"/>
      <c r="G109" s="14"/>
      <c r="H109" s="14"/>
      <c r="I109" s="14"/>
      <c r="J109" s="14"/>
      <c r="K109" s="14"/>
    </row>
    <row r="110" spans="4:11" ht="12.75">
      <c r="D110" s="14"/>
      <c r="E110" s="14"/>
      <c r="F110" s="14"/>
      <c r="G110" s="14"/>
      <c r="H110" s="14"/>
      <c r="I110" s="14"/>
      <c r="J110" s="14"/>
      <c r="K110" s="14"/>
    </row>
    <row r="111" spans="4:11" ht="12.75">
      <c r="D111" s="14"/>
      <c r="E111" s="14"/>
      <c r="F111" s="14"/>
      <c r="G111" s="14"/>
      <c r="H111" s="14"/>
      <c r="I111" s="14"/>
      <c r="J111" s="14"/>
      <c r="K111" s="14"/>
    </row>
    <row r="112" spans="4:11" ht="12.75">
      <c r="D112" s="14"/>
      <c r="E112" s="14"/>
      <c r="F112" s="14"/>
      <c r="G112" s="14"/>
      <c r="H112" s="14"/>
      <c r="I112" s="14"/>
      <c r="J112" s="14"/>
      <c r="K112" s="14"/>
    </row>
    <row r="113" spans="4:11" ht="12.75">
      <c r="D113" s="14"/>
      <c r="E113" s="14"/>
      <c r="F113" s="14"/>
      <c r="G113" s="14"/>
      <c r="H113" s="14"/>
      <c r="I113" s="14"/>
      <c r="J113" s="14"/>
      <c r="K113" s="14"/>
    </row>
    <row r="114" spans="4:11" ht="12.75">
      <c r="D114" s="14"/>
      <c r="E114" s="14"/>
      <c r="F114" s="14"/>
      <c r="G114" s="14"/>
      <c r="H114" s="14"/>
      <c r="I114" s="14"/>
      <c r="J114" s="14"/>
      <c r="K114" s="14"/>
    </row>
    <row r="115" spans="4:11" ht="12.75">
      <c r="D115" s="14"/>
      <c r="E115" s="14"/>
      <c r="F115" s="14"/>
      <c r="G115" s="14"/>
      <c r="H115" s="14"/>
      <c r="I115" s="14"/>
      <c r="J115" s="14"/>
      <c r="K115" s="14"/>
    </row>
    <row r="116" spans="4:11" ht="12.75">
      <c r="D116" s="14"/>
      <c r="E116" s="14"/>
      <c r="F116" s="14"/>
      <c r="G116" s="14"/>
      <c r="H116" s="14"/>
      <c r="I116" s="14"/>
      <c r="J116" s="14"/>
      <c r="K116" s="14"/>
    </row>
    <row r="117" spans="4:11" ht="12.75">
      <c r="D117" s="14"/>
      <c r="E117" s="14"/>
      <c r="F117" s="14"/>
      <c r="G117" s="14"/>
      <c r="H117" s="14"/>
      <c r="I117" s="14"/>
      <c r="J117" s="14"/>
      <c r="K117" s="14"/>
    </row>
    <row r="118" spans="4:11" ht="12.75">
      <c r="D118" s="14"/>
      <c r="E118" s="14"/>
      <c r="F118" s="14"/>
      <c r="G118" s="14"/>
      <c r="H118" s="14"/>
      <c r="I118" s="14"/>
      <c r="J118" s="14"/>
      <c r="K118" s="14"/>
    </row>
    <row r="119" spans="4:11" ht="12.75">
      <c r="D119" s="14"/>
      <c r="E119" s="14"/>
      <c r="F119" s="14"/>
      <c r="G119" s="14"/>
      <c r="H119" s="14"/>
      <c r="I119" s="14"/>
      <c r="J119" s="14"/>
      <c r="K119" s="14"/>
    </row>
    <row r="120" spans="4:11" ht="12.75">
      <c r="D120" s="14"/>
      <c r="E120" s="14"/>
      <c r="F120" s="14"/>
      <c r="G120" s="14"/>
      <c r="H120" s="14"/>
      <c r="I120" s="14"/>
      <c r="J120" s="14"/>
      <c r="K120" s="14"/>
    </row>
    <row r="121" spans="4:11" ht="12.75">
      <c r="D121" s="14"/>
      <c r="E121" s="14"/>
      <c r="F121" s="14"/>
      <c r="G121" s="14"/>
      <c r="H121" s="14"/>
      <c r="I121" s="14"/>
      <c r="J121" s="14"/>
      <c r="K121" s="14"/>
    </row>
    <row r="122" spans="4:11" ht="12.75">
      <c r="D122" s="14"/>
      <c r="E122" s="14"/>
      <c r="F122" s="14"/>
      <c r="G122" s="14"/>
      <c r="H122" s="14"/>
      <c r="I122" s="14"/>
      <c r="J122" s="14"/>
      <c r="K122" s="14"/>
    </row>
    <row r="123" spans="4:11" ht="12.75">
      <c r="D123" s="14"/>
      <c r="E123" s="14"/>
      <c r="F123" s="14"/>
      <c r="G123" s="14"/>
      <c r="H123" s="14"/>
      <c r="I123" s="14"/>
      <c r="J123" s="14"/>
      <c r="K123" s="14"/>
    </row>
    <row r="124" spans="4:11" ht="12.75">
      <c r="D124" s="14"/>
      <c r="E124" s="14"/>
      <c r="F124" s="14"/>
      <c r="G124" s="14"/>
      <c r="H124" s="14"/>
      <c r="I124" s="14"/>
      <c r="J124" s="14"/>
      <c r="K124" s="14"/>
    </row>
    <row r="125" spans="4:11" ht="12.75">
      <c r="D125" s="14"/>
      <c r="E125" s="14"/>
      <c r="F125" s="14"/>
      <c r="G125" s="14"/>
      <c r="H125" s="14"/>
      <c r="I125" s="14"/>
      <c r="J125" s="14"/>
      <c r="K125" s="14"/>
    </row>
    <row r="126" spans="4:11" ht="12.75">
      <c r="D126" s="14"/>
      <c r="E126" s="14"/>
      <c r="F126" s="14"/>
      <c r="G126" s="14"/>
      <c r="H126" s="14"/>
      <c r="I126" s="14"/>
      <c r="J126" s="14"/>
      <c r="K126" s="14"/>
    </row>
    <row r="127" spans="4:11" ht="12.75">
      <c r="D127" s="14"/>
      <c r="E127" s="14"/>
      <c r="F127" s="14"/>
      <c r="G127" s="14"/>
      <c r="H127" s="14"/>
      <c r="I127" s="14"/>
      <c r="J127" s="14"/>
      <c r="K127" s="14"/>
    </row>
    <row r="128" spans="4:11" ht="12.75">
      <c r="D128" s="14"/>
      <c r="E128" s="14"/>
      <c r="F128" s="14"/>
      <c r="G128" s="14"/>
      <c r="H128" s="14"/>
      <c r="I128" s="14"/>
      <c r="J128" s="14"/>
      <c r="K128" s="14"/>
    </row>
    <row r="129" spans="4:11" ht="12.75">
      <c r="D129" s="14"/>
      <c r="E129" s="14"/>
      <c r="F129" s="14"/>
      <c r="G129" s="14"/>
      <c r="H129" s="14"/>
      <c r="I129" s="14"/>
      <c r="J129" s="14"/>
      <c r="K129" s="14"/>
    </row>
    <row r="130" spans="4:11" ht="12.75">
      <c r="D130" s="14"/>
      <c r="E130" s="14"/>
      <c r="F130" s="14"/>
      <c r="G130" s="14"/>
      <c r="H130" s="14"/>
      <c r="I130" s="14"/>
      <c r="J130" s="14"/>
      <c r="K130" s="14"/>
    </row>
    <row r="131" spans="4:11" ht="12.75">
      <c r="D131" s="14"/>
      <c r="E131" s="14"/>
      <c r="F131" s="14"/>
      <c r="G131" s="14"/>
      <c r="H131" s="14"/>
      <c r="I131" s="14"/>
      <c r="J131" s="14"/>
      <c r="K131" s="14"/>
    </row>
    <row r="132" spans="4:11" ht="12.75">
      <c r="D132" s="14"/>
      <c r="E132" s="14"/>
      <c r="F132" s="14"/>
      <c r="G132" s="14"/>
      <c r="H132" s="14"/>
      <c r="I132" s="14"/>
      <c r="J132" s="14"/>
      <c r="K132" s="14"/>
    </row>
    <row r="133" spans="4:11" ht="12.75">
      <c r="D133" s="14"/>
      <c r="E133" s="14"/>
      <c r="F133" s="14"/>
      <c r="G133" s="14"/>
      <c r="H133" s="14"/>
      <c r="I133" s="14"/>
      <c r="J133" s="14"/>
      <c r="K133" s="14"/>
    </row>
    <row r="134" spans="4:11" ht="12.75">
      <c r="D134" s="14"/>
      <c r="E134" s="14"/>
      <c r="F134" s="14"/>
      <c r="G134" s="14"/>
      <c r="H134" s="14"/>
      <c r="I134" s="14"/>
      <c r="J134" s="14"/>
      <c r="K134" s="14"/>
    </row>
    <row r="135" spans="4:11" ht="12.75">
      <c r="D135" s="14"/>
      <c r="E135" s="14"/>
      <c r="F135" s="14"/>
      <c r="G135" s="14"/>
      <c r="H135" s="14"/>
      <c r="I135" s="14"/>
      <c r="J135" s="14"/>
      <c r="K135" s="14"/>
    </row>
    <row r="136" spans="4:11" ht="12.75">
      <c r="D136" s="14"/>
      <c r="E136" s="14"/>
      <c r="F136" s="14"/>
      <c r="G136" s="14"/>
      <c r="H136" s="14"/>
      <c r="I136" s="14"/>
      <c r="J136" s="14"/>
      <c r="K136" s="14"/>
    </row>
    <row r="137" spans="4:11" ht="12.75">
      <c r="D137" s="14"/>
      <c r="E137" s="14"/>
      <c r="F137" s="14"/>
      <c r="G137" s="14"/>
      <c r="H137" s="14"/>
      <c r="I137" s="14"/>
      <c r="J137" s="14"/>
      <c r="K137" s="14"/>
    </row>
    <row r="138" spans="4:11" ht="12.75">
      <c r="D138" s="14"/>
      <c r="E138" s="14"/>
      <c r="F138" s="14"/>
      <c r="G138" s="14"/>
      <c r="H138" s="14"/>
      <c r="I138" s="14"/>
      <c r="J138" s="14"/>
      <c r="K138" s="14"/>
    </row>
    <row r="139" spans="4:11" ht="12.75">
      <c r="D139" s="14"/>
      <c r="E139" s="14"/>
      <c r="F139" s="14"/>
      <c r="G139" s="14"/>
      <c r="H139" s="14"/>
      <c r="I139" s="14"/>
      <c r="J139" s="14"/>
      <c r="K139" s="14"/>
    </row>
    <row r="140" spans="4:11" ht="12.75">
      <c r="D140" s="14"/>
      <c r="E140" s="14"/>
      <c r="F140" s="14"/>
      <c r="G140" s="14"/>
      <c r="H140" s="14"/>
      <c r="I140" s="14"/>
      <c r="J140" s="14"/>
      <c r="K140" s="14"/>
    </row>
    <row r="141" spans="4:11" ht="12.75">
      <c r="D141" s="14"/>
      <c r="E141" s="14"/>
      <c r="F141" s="14"/>
      <c r="G141" s="14"/>
      <c r="H141" s="14"/>
      <c r="I141" s="14"/>
      <c r="J141" s="14"/>
      <c r="K141" s="14"/>
    </row>
    <row r="142" spans="4:11" ht="12.75">
      <c r="D142" s="14"/>
      <c r="E142" s="14"/>
      <c r="F142" s="14"/>
      <c r="G142" s="14"/>
      <c r="H142" s="14"/>
      <c r="I142" s="14"/>
      <c r="J142" s="14"/>
      <c r="K142" s="14"/>
    </row>
    <row r="143" spans="4:11" ht="12.75">
      <c r="D143" s="14"/>
      <c r="E143" s="14"/>
      <c r="F143" s="14"/>
      <c r="G143" s="14"/>
      <c r="H143" s="14"/>
      <c r="I143" s="14"/>
      <c r="J143" s="14"/>
      <c r="K143" s="14"/>
    </row>
    <row r="144" spans="4:11" ht="12.75">
      <c r="D144" s="14"/>
      <c r="E144" s="14"/>
      <c r="F144" s="14"/>
      <c r="G144" s="14"/>
      <c r="H144" s="14"/>
      <c r="I144" s="14"/>
      <c r="J144" s="14"/>
      <c r="K144" s="14"/>
    </row>
    <row r="145" spans="4:11" ht="12.75">
      <c r="D145" s="14"/>
      <c r="E145" s="14"/>
      <c r="F145" s="14"/>
      <c r="G145" s="14"/>
      <c r="H145" s="14"/>
      <c r="I145" s="14"/>
      <c r="J145" s="14"/>
      <c r="K145" s="14"/>
    </row>
    <row r="146" spans="4:11" ht="12.75">
      <c r="D146" s="14"/>
      <c r="E146" s="14"/>
      <c r="F146" s="14"/>
      <c r="G146" s="14"/>
      <c r="H146" s="14"/>
      <c r="I146" s="14"/>
      <c r="J146" s="14"/>
      <c r="K146" s="14"/>
    </row>
    <row r="147" spans="4:11" ht="12.75">
      <c r="D147" s="14"/>
      <c r="E147" s="14"/>
      <c r="F147" s="14"/>
      <c r="G147" s="14"/>
      <c r="H147" s="14"/>
      <c r="I147" s="14"/>
      <c r="J147" s="14"/>
      <c r="K147" s="14"/>
    </row>
    <row r="148" spans="4:11" ht="12.75">
      <c r="D148" s="14"/>
      <c r="E148" s="14"/>
      <c r="F148" s="14"/>
      <c r="G148" s="14"/>
      <c r="H148" s="14"/>
      <c r="I148" s="14"/>
      <c r="J148" s="14"/>
      <c r="K148" s="14"/>
    </row>
    <row r="149" spans="4:11" ht="12.75">
      <c r="D149" s="14"/>
      <c r="E149" s="14"/>
      <c r="F149" s="14"/>
      <c r="G149" s="14"/>
      <c r="H149" s="14"/>
      <c r="I149" s="14"/>
      <c r="J149" s="14"/>
      <c r="K149" s="14"/>
    </row>
    <row r="150" spans="4:11" ht="12.75">
      <c r="D150" s="14"/>
      <c r="E150" s="14"/>
      <c r="F150" s="14"/>
      <c r="G150" s="14"/>
      <c r="H150" s="14"/>
      <c r="I150" s="14"/>
      <c r="J150" s="14"/>
      <c r="K150" s="14"/>
    </row>
    <row r="151" spans="4:11" ht="12.75">
      <c r="D151" s="14"/>
      <c r="E151" s="14"/>
      <c r="F151" s="14"/>
      <c r="G151" s="14"/>
      <c r="H151" s="14"/>
      <c r="I151" s="14"/>
      <c r="J151" s="14"/>
      <c r="K151" s="14"/>
    </row>
    <row r="152" spans="4:11" ht="12.75">
      <c r="D152" s="14"/>
      <c r="E152" s="14"/>
      <c r="F152" s="14"/>
      <c r="G152" s="14"/>
      <c r="H152" s="14"/>
      <c r="I152" s="14"/>
      <c r="J152" s="14"/>
      <c r="K152" s="14"/>
    </row>
    <row r="153" spans="4:11" ht="12.75">
      <c r="D153" s="14"/>
      <c r="E153" s="14"/>
      <c r="F153" s="14"/>
      <c r="G153" s="14"/>
      <c r="H153" s="14"/>
      <c r="I153" s="14"/>
      <c r="J153" s="14"/>
      <c r="K153" s="14"/>
    </row>
    <row r="154" spans="4:11" ht="12.75">
      <c r="D154" s="14"/>
      <c r="E154" s="14"/>
      <c r="F154" s="14"/>
      <c r="G154" s="14"/>
      <c r="H154" s="14"/>
      <c r="I154" s="14"/>
      <c r="J154" s="14"/>
      <c r="K154" s="14"/>
    </row>
    <row r="155" spans="4:11" ht="12.75">
      <c r="D155" s="14"/>
      <c r="E155" s="14"/>
      <c r="F155" s="14"/>
      <c r="G155" s="14"/>
      <c r="H155" s="14"/>
      <c r="I155" s="14"/>
      <c r="J155" s="14"/>
      <c r="K155" s="14"/>
    </row>
    <row r="156" spans="4:11" ht="12.75">
      <c r="D156" s="14"/>
      <c r="E156" s="14"/>
      <c r="F156" s="14"/>
      <c r="G156" s="14"/>
      <c r="H156" s="14"/>
      <c r="I156" s="14"/>
      <c r="J156" s="14"/>
      <c r="K156" s="14"/>
    </row>
    <row r="157" spans="4:11" ht="12.75">
      <c r="D157" s="14"/>
      <c r="E157" s="14"/>
      <c r="F157" s="14"/>
      <c r="G157" s="14"/>
      <c r="H157" s="14"/>
      <c r="I157" s="14"/>
      <c r="J157" s="14"/>
      <c r="K157" s="14"/>
    </row>
    <row r="158" spans="4:11" ht="12.75">
      <c r="D158" s="14"/>
      <c r="E158" s="14"/>
      <c r="F158" s="14"/>
      <c r="G158" s="14"/>
      <c r="H158" s="14"/>
      <c r="I158" s="14"/>
      <c r="J158" s="14"/>
      <c r="K158" s="14"/>
    </row>
    <row r="159" spans="4:11" ht="12.75">
      <c r="D159" s="14"/>
      <c r="E159" s="14"/>
      <c r="F159" s="14"/>
      <c r="G159" s="14"/>
      <c r="H159" s="14"/>
      <c r="I159" s="14"/>
      <c r="J159" s="14"/>
      <c r="K159" s="14"/>
    </row>
    <row r="160" spans="4:11" ht="12.75">
      <c r="D160" s="14"/>
      <c r="E160" s="14"/>
      <c r="F160" s="14"/>
      <c r="G160" s="14"/>
      <c r="H160" s="14"/>
      <c r="I160" s="14"/>
      <c r="J160" s="14"/>
      <c r="K160" s="14"/>
    </row>
    <row r="161" spans="4:11" ht="12.75">
      <c r="D161" s="14"/>
      <c r="E161" s="14"/>
      <c r="F161" s="14"/>
      <c r="G161" s="14"/>
      <c r="H161" s="14"/>
      <c r="I161" s="14"/>
      <c r="J161" s="14"/>
      <c r="K161" s="14"/>
    </row>
    <row r="162" spans="4:11" ht="12.75">
      <c r="D162" s="14"/>
      <c r="E162" s="14"/>
      <c r="F162" s="14"/>
      <c r="G162" s="14"/>
      <c r="H162" s="14"/>
      <c r="I162" s="14"/>
      <c r="J162" s="14"/>
      <c r="K162" s="14"/>
    </row>
    <row r="163" spans="4:11" ht="12.75">
      <c r="D163" s="14"/>
      <c r="E163" s="14"/>
      <c r="F163" s="14"/>
      <c r="G163" s="14"/>
      <c r="H163" s="14"/>
      <c r="I163" s="14"/>
      <c r="J163" s="14"/>
      <c r="K163" s="14"/>
    </row>
    <row r="164" spans="4:11" ht="12.75">
      <c r="D164" s="14"/>
      <c r="E164" s="14"/>
      <c r="F164" s="14"/>
      <c r="G164" s="14"/>
      <c r="H164" s="14"/>
      <c r="I164" s="14"/>
      <c r="J164" s="14"/>
      <c r="K164" s="14"/>
    </row>
    <row r="165" spans="4:11" ht="12.75">
      <c r="D165" s="14"/>
      <c r="E165" s="14"/>
      <c r="F165" s="14"/>
      <c r="G165" s="14"/>
      <c r="H165" s="14"/>
      <c r="I165" s="14"/>
      <c r="J165" s="14"/>
      <c r="K165" s="14"/>
    </row>
    <row r="166" spans="4:11" ht="12.75">
      <c r="D166" s="14"/>
      <c r="E166" s="14"/>
      <c r="F166" s="14"/>
      <c r="G166" s="14"/>
      <c r="H166" s="14"/>
      <c r="I166" s="14"/>
      <c r="J166" s="14"/>
      <c r="K166" s="14"/>
    </row>
    <row r="167" spans="4:11" ht="12.75">
      <c r="D167" s="14"/>
      <c r="E167" s="14"/>
      <c r="F167" s="14"/>
      <c r="G167" s="14"/>
      <c r="H167" s="14"/>
      <c r="I167" s="14"/>
      <c r="J167" s="14"/>
      <c r="K167" s="14"/>
    </row>
    <row r="168" spans="4:11" ht="12.75">
      <c r="D168" s="14"/>
      <c r="E168" s="14"/>
      <c r="F168" s="14"/>
      <c r="G168" s="14"/>
      <c r="H168" s="14"/>
      <c r="I168" s="14"/>
      <c r="J168" s="14"/>
      <c r="K168" s="14"/>
    </row>
    <row r="169" spans="4:11" ht="12.75">
      <c r="D169" s="14"/>
      <c r="E169" s="14"/>
      <c r="F169" s="14"/>
      <c r="G169" s="14"/>
      <c r="H169" s="14"/>
      <c r="I169" s="14"/>
      <c r="J169" s="14"/>
      <c r="K169" s="14"/>
    </row>
  </sheetData>
  <sheetProtection password="DDD9" sheet="1" objects="1" scenarios="1"/>
  <mergeCells count="5">
    <mergeCell ref="E8:F8"/>
    <mergeCell ref="A1:K1"/>
    <mergeCell ref="A2:K2"/>
    <mergeCell ref="A3:K3"/>
    <mergeCell ref="D7:H7"/>
  </mergeCells>
  <printOptions/>
  <pageMargins left="0.5" right="0" top="0.5" bottom="0.5" header="0.5" footer="0.5"/>
  <pageSetup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0"/>
  <sheetViews>
    <sheetView workbookViewId="0" topLeftCell="A1">
      <selection activeCell="A3" sqref="A3"/>
    </sheetView>
  </sheetViews>
  <sheetFormatPr defaultColWidth="9.140625" defaultRowHeight="12.75"/>
  <cols>
    <col min="1" max="1" width="9.140625" style="5" customWidth="1"/>
    <col min="2" max="2" width="38.57421875" style="4" customWidth="1"/>
    <col min="3" max="3" width="3.57421875" style="4" customWidth="1"/>
    <col min="4" max="4" width="12.421875" style="4" customWidth="1"/>
    <col min="5" max="5" width="13.8515625" style="5" customWidth="1"/>
    <col min="6" max="6" width="3.28125" style="5" customWidth="1"/>
    <col min="7" max="7" width="13.00390625" style="5" customWidth="1"/>
    <col min="8" max="8" width="3.8515625" style="5" customWidth="1"/>
    <col min="9" max="10" width="12.57421875" style="5" bestFit="1" customWidth="1"/>
    <col min="11" max="11" width="12.57421875" style="5" customWidth="1"/>
    <col min="12" max="16384" width="9.140625" style="5" customWidth="1"/>
  </cols>
  <sheetData>
    <row r="1" spans="2:6" ht="15.75">
      <c r="B1" s="159" t="s">
        <v>684</v>
      </c>
      <c r="C1" s="159"/>
      <c r="D1" s="159"/>
      <c r="E1" s="3"/>
      <c r="F1" s="2"/>
    </row>
    <row r="2" spans="2:6" ht="12.75">
      <c r="B2" s="15" t="s">
        <v>75</v>
      </c>
      <c r="C2" s="3"/>
      <c r="D2" s="3"/>
      <c r="E2" s="3"/>
      <c r="F2" s="2"/>
    </row>
    <row r="3" spans="2:6" ht="12.75">
      <c r="B3" s="15" t="s">
        <v>76</v>
      </c>
      <c r="C3" s="3"/>
      <c r="D3" s="3"/>
      <c r="E3" s="3"/>
      <c r="F3" s="2"/>
    </row>
    <row r="4" spans="2:6" ht="12.75">
      <c r="B4" s="3"/>
      <c r="C4" s="3"/>
      <c r="D4" s="3"/>
      <c r="E4" s="3"/>
      <c r="F4" s="2"/>
    </row>
    <row r="5" spans="2:6" ht="12.75">
      <c r="B5" s="1" t="s">
        <v>0</v>
      </c>
      <c r="C5" s="2"/>
      <c r="D5" s="2"/>
      <c r="E5" s="2"/>
      <c r="F5" s="2"/>
    </row>
    <row r="6" spans="2:6" ht="12.75">
      <c r="B6" s="1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4" ht="12.75">
      <c r="B8" s="1" t="s">
        <v>320</v>
      </c>
      <c r="C8" s="2"/>
      <c r="D8" s="2"/>
    </row>
    <row r="9" spans="1:6" ht="12.75">
      <c r="A9" s="5" t="s">
        <v>38</v>
      </c>
      <c r="B9" s="11" t="s">
        <v>6</v>
      </c>
      <c r="C9" s="13"/>
      <c r="D9" s="18">
        <f>'RUF WORK FOR ALL'!D11</f>
        <v>4882024</v>
      </c>
      <c r="E9" s="14"/>
      <c r="F9" s="14"/>
    </row>
    <row r="10" spans="1:7" ht="12.75">
      <c r="A10" s="5" t="s">
        <v>77</v>
      </c>
      <c r="B10" s="4" t="s">
        <v>6</v>
      </c>
      <c r="D10" s="18">
        <f>'RUF WORK FOR ALL'!D12</f>
        <v>40092808</v>
      </c>
      <c r="E10" s="14"/>
      <c r="G10" s="14"/>
    </row>
    <row r="11" spans="1:7" ht="12.75">
      <c r="A11" s="5" t="s">
        <v>217</v>
      </c>
      <c r="B11" s="4" t="s">
        <v>6</v>
      </c>
      <c r="D11" s="18">
        <f>'RUF WORK FOR ALL'!D13</f>
        <v>3877583</v>
      </c>
      <c r="E11" s="14"/>
      <c r="G11" s="14"/>
    </row>
    <row r="12" spans="1:7" ht="12.75">
      <c r="A12" s="5" t="s">
        <v>248</v>
      </c>
      <c r="B12" s="4" t="s">
        <v>6</v>
      </c>
      <c r="D12" s="18">
        <f>'RUF WORK FOR ALL'!D14</f>
        <v>26736383</v>
      </c>
      <c r="E12" s="14"/>
      <c r="G12" s="14"/>
    </row>
    <row r="13" spans="1:7" ht="12.75">
      <c r="A13" s="5" t="s">
        <v>275</v>
      </c>
      <c r="B13" s="4" t="s">
        <v>6</v>
      </c>
      <c r="D13" s="18">
        <f>'RUF WORK FOR ALL'!D15</f>
        <v>2529223</v>
      </c>
      <c r="E13" s="14"/>
      <c r="G13" s="14"/>
    </row>
    <row r="14" spans="1:7" ht="12.75">
      <c r="A14" s="5" t="s">
        <v>39</v>
      </c>
      <c r="B14" s="4" t="s">
        <v>6</v>
      </c>
      <c r="D14" s="18">
        <f>'RUF WORK FOR ALL'!D16</f>
        <v>1455650</v>
      </c>
      <c r="E14" s="14"/>
      <c r="G14" s="14"/>
    </row>
    <row r="15" spans="1:7" ht="12.75">
      <c r="A15" s="5" t="s">
        <v>36</v>
      </c>
      <c r="B15" s="4" t="s">
        <v>6</v>
      </c>
      <c r="D15" s="18">
        <f>'RUF WORK FOR ALL'!D17</f>
        <v>5818381</v>
      </c>
      <c r="E15" s="14"/>
      <c r="G15" s="14"/>
    </row>
    <row r="16" spans="1:9" ht="12.75">
      <c r="A16" s="5" t="s">
        <v>41</v>
      </c>
      <c r="B16" s="4" t="s">
        <v>6</v>
      </c>
      <c r="D16" s="47">
        <f>'RUF WORK FOR ALL'!D18</f>
        <v>-7885692</v>
      </c>
      <c r="E16" s="14">
        <f>SUM(D9:D16)</f>
        <v>77506360</v>
      </c>
      <c r="G16" s="14"/>
      <c r="I16" s="14"/>
    </row>
    <row r="17" spans="4:7" ht="12.75">
      <c r="D17" s="18"/>
      <c r="E17" s="14"/>
      <c r="G17" s="14"/>
    </row>
    <row r="18" spans="1:7" ht="12.75">
      <c r="A18" s="5" t="s">
        <v>38</v>
      </c>
      <c r="B18" s="4" t="s">
        <v>218</v>
      </c>
      <c r="D18" s="18">
        <f>'RUF WORK FOR ALL'!D20</f>
        <v>-482116</v>
      </c>
      <c r="G18" s="14"/>
    </row>
    <row r="19" spans="1:7" ht="12.75">
      <c r="A19" s="5" t="s">
        <v>77</v>
      </c>
      <c r="B19" s="4" t="s">
        <v>7</v>
      </c>
      <c r="D19" s="18">
        <f>'RUF WORK FOR ALL'!D21</f>
        <v>831509</v>
      </c>
      <c r="G19" s="14"/>
    </row>
    <row r="20" spans="1:7" ht="12.75">
      <c r="A20" s="5" t="s">
        <v>217</v>
      </c>
      <c r="B20" s="4" t="s">
        <v>7</v>
      </c>
      <c r="D20" s="18">
        <v>863501</v>
      </c>
      <c r="G20" s="14"/>
    </row>
    <row r="21" spans="1:7" ht="12.75">
      <c r="A21" s="5" t="s">
        <v>248</v>
      </c>
      <c r="B21" s="4" t="s">
        <v>7</v>
      </c>
      <c r="D21" s="18">
        <f>'RUF WORK FOR ALL'!D23</f>
        <v>4102173</v>
      </c>
      <c r="G21" s="14"/>
    </row>
    <row r="22" spans="1:7" ht="12.75">
      <c r="A22" s="5" t="s">
        <v>275</v>
      </c>
      <c r="B22" s="4" t="s">
        <v>7</v>
      </c>
      <c r="D22" s="18">
        <f>'RUF WORK FOR ALL'!D24</f>
        <v>811493</v>
      </c>
      <c r="G22" s="14"/>
    </row>
    <row r="23" spans="1:7" ht="12.75">
      <c r="A23" s="5" t="s">
        <v>39</v>
      </c>
      <c r="B23" s="4" t="s">
        <v>7</v>
      </c>
      <c r="D23" s="18">
        <f>'RUF WORK FOR ALL'!D25</f>
        <v>4090027</v>
      </c>
      <c r="G23" s="14"/>
    </row>
    <row r="24" spans="1:7" ht="12.75">
      <c r="A24" s="5" t="s">
        <v>36</v>
      </c>
      <c r="B24" s="4" t="s">
        <v>7</v>
      </c>
      <c r="D24" s="18">
        <f>'RUF WORK FOR ALL'!D26</f>
        <v>2144027</v>
      </c>
      <c r="G24" s="14"/>
    </row>
    <row r="25" spans="1:9" ht="12.75">
      <c r="A25" s="5" t="s">
        <v>41</v>
      </c>
      <c r="B25" s="4" t="s">
        <v>7</v>
      </c>
      <c r="D25" s="47">
        <v>706029</v>
      </c>
      <c r="E25" s="14">
        <f>SUM(D18:D25)</f>
        <v>13066643</v>
      </c>
      <c r="G25" s="14">
        <f>SUM(E16:E25)</f>
        <v>90573003</v>
      </c>
      <c r="I25" s="14"/>
    </row>
    <row r="26" spans="4:7" ht="12.75">
      <c r="D26" s="18"/>
      <c r="G26" s="14"/>
    </row>
    <row r="27" spans="4:7" ht="12.75">
      <c r="D27" s="18"/>
      <c r="G27" s="14"/>
    </row>
    <row r="28" spans="2:7" ht="12.75">
      <c r="B28" s="1" t="s">
        <v>327</v>
      </c>
      <c r="C28" s="2"/>
      <c r="D28" s="3"/>
      <c r="G28" s="14"/>
    </row>
    <row r="29" spans="1:7" ht="12.75">
      <c r="A29" s="5" t="s">
        <v>38</v>
      </c>
      <c r="B29" s="4" t="s">
        <v>36</v>
      </c>
      <c r="C29" s="8" t="str">
        <f>'RUF WORK FOR ALL'!C141</f>
        <v>Cr</v>
      </c>
      <c r="D29" s="9">
        <f>'RUF WORK FOR ALL'!D141</f>
        <v>1599587</v>
      </c>
      <c r="G29" s="14"/>
    </row>
    <row r="30" spans="1:7" ht="12.75">
      <c r="A30" s="5" t="s">
        <v>77</v>
      </c>
      <c r="B30" s="4" t="s">
        <v>36</v>
      </c>
      <c r="C30" s="8" t="str">
        <f>'RUF WORK FOR ALL'!C148</f>
        <v>Cr</v>
      </c>
      <c r="D30" s="9">
        <f>'RUF WORK FOR ALL'!D148</f>
        <v>1127990</v>
      </c>
      <c r="G30" s="14"/>
    </row>
    <row r="31" spans="1:7" ht="12.75">
      <c r="A31" s="5" t="s">
        <v>217</v>
      </c>
      <c r="B31" s="4" t="s">
        <v>36</v>
      </c>
      <c r="C31" s="8" t="str">
        <f>'RUF WORK FOR ALL'!C156</f>
        <v>Dr</v>
      </c>
      <c r="D31" s="9">
        <f>'RUF WORK FOR ALL'!D156</f>
        <v>1599339</v>
      </c>
      <c r="G31" s="14"/>
    </row>
    <row r="32" spans="1:7" ht="12.75">
      <c r="A32" s="5" t="s">
        <v>248</v>
      </c>
      <c r="B32" s="4" t="s">
        <v>36</v>
      </c>
      <c r="C32" s="8" t="str">
        <f>'RUF WORK FOR ALL'!C164</f>
        <v>Dr</v>
      </c>
      <c r="D32" s="9">
        <f>'RUF WORK FOR ALL'!D164</f>
        <v>2515075</v>
      </c>
      <c r="G32" s="14"/>
    </row>
    <row r="33" spans="1:7" ht="12.75">
      <c r="A33" s="5" t="s">
        <v>275</v>
      </c>
      <c r="B33" s="4" t="s">
        <v>36</v>
      </c>
      <c r="C33" s="8" t="str">
        <f>'RUF WORK FOR ALL'!C170</f>
        <v>Cr</v>
      </c>
      <c r="D33" s="9">
        <f>'RUF WORK FOR ALL'!D170</f>
        <v>2549260</v>
      </c>
      <c r="G33" s="14"/>
    </row>
    <row r="34" spans="1:7" ht="12.75">
      <c r="A34" s="5" t="s">
        <v>39</v>
      </c>
      <c r="B34" s="4" t="s">
        <v>36</v>
      </c>
      <c r="C34" s="8" t="str">
        <f>'RUF WORK FOR ALL'!C180</f>
        <v>Cr</v>
      </c>
      <c r="D34" s="9">
        <f>'RUF WORK FOR ALL'!D180</f>
        <v>1801472</v>
      </c>
      <c r="G34" s="14"/>
    </row>
    <row r="35" spans="1:7" ht="12.75">
      <c r="A35" s="5" t="s">
        <v>41</v>
      </c>
      <c r="B35" s="4" t="s">
        <v>36</v>
      </c>
      <c r="C35" s="52" t="str">
        <f>'RUF WORK FOR ALL'!C191</f>
        <v>Dr</v>
      </c>
      <c r="D35" s="46">
        <f>'RUF WORK FOR ALL'!D191</f>
        <v>4614183</v>
      </c>
      <c r="E35" s="14">
        <f>SUM(D35)+SUM(D31:D32)-SUM(D33:D34)-SUM(D29:D30)</f>
        <v>1650288</v>
      </c>
      <c r="F35" s="2" t="s">
        <v>40</v>
      </c>
      <c r="G35" s="14"/>
    </row>
    <row r="36" spans="1:7" ht="12.75">
      <c r="A36" s="5" t="s">
        <v>77</v>
      </c>
      <c r="B36" s="4" t="s">
        <v>38</v>
      </c>
      <c r="C36" s="8" t="str">
        <f>'RUF WORK FOR ALL'!C149</f>
        <v>Cr</v>
      </c>
      <c r="D36" s="9">
        <f>'RUF WORK FOR ALL'!D149</f>
        <v>5036503</v>
      </c>
      <c r="G36" s="14"/>
    </row>
    <row r="37" spans="1:7" ht="12.75">
      <c r="A37" s="5" t="s">
        <v>217</v>
      </c>
      <c r="B37" s="4" t="s">
        <v>38</v>
      </c>
      <c r="C37" s="8" t="str">
        <f>'RUF WORK FOR ALL'!C161</f>
        <v>Dr</v>
      </c>
      <c r="D37" s="9">
        <f>'RUF WORK FOR ALL'!D161</f>
        <v>49587</v>
      </c>
      <c r="G37" s="14"/>
    </row>
    <row r="38" spans="1:7" ht="12.75">
      <c r="A38" s="5" t="s">
        <v>248</v>
      </c>
      <c r="B38" s="4" t="s">
        <v>38</v>
      </c>
      <c r="C38" s="8" t="str">
        <f>'RUF WORK FOR ALL'!C162</f>
        <v>Dr</v>
      </c>
      <c r="D38" s="9">
        <f>'RUF WORK FOR ALL'!D162</f>
        <v>199587</v>
      </c>
      <c r="G38" s="14"/>
    </row>
    <row r="39" spans="1:7" ht="12.75">
      <c r="A39" s="5" t="s">
        <v>275</v>
      </c>
      <c r="B39" s="4" t="s">
        <v>38</v>
      </c>
      <c r="C39" s="8" t="str">
        <f>'RUF WORK FOR ALL'!C169</f>
        <v>Dr</v>
      </c>
      <c r="D39" s="9">
        <f>'RUF WORK FOR ALL'!D169</f>
        <v>61351</v>
      </c>
      <c r="G39" s="14"/>
    </row>
    <row r="40" spans="1:7" ht="12.75">
      <c r="A40" s="5" t="s">
        <v>39</v>
      </c>
      <c r="B40" s="4" t="s">
        <v>38</v>
      </c>
      <c r="C40" s="8" t="str">
        <f>'RUF WORK FOR ALL'!C181</f>
        <v>Dr</v>
      </c>
      <c r="D40" s="9">
        <f>'RUF WORK FOR ALL'!D181</f>
        <v>11344438</v>
      </c>
      <c r="G40" s="14"/>
    </row>
    <row r="41" spans="1:7" ht="12.75">
      <c r="A41" s="5" t="s">
        <v>36</v>
      </c>
      <c r="B41" s="4" t="s">
        <v>38</v>
      </c>
      <c r="C41" s="8" t="str">
        <f>'RUF WORK FOR ALL'!C183</f>
        <v>Dr</v>
      </c>
      <c r="D41" s="9">
        <f>'RUF WORK FOR ALL'!D183</f>
        <v>1599587</v>
      </c>
      <c r="G41" s="14"/>
    </row>
    <row r="42" spans="1:7" ht="12.75">
      <c r="A42" s="5" t="s">
        <v>41</v>
      </c>
      <c r="B42" s="4" t="s">
        <v>38</v>
      </c>
      <c r="C42" s="52" t="str">
        <f>'RUF WORK FOR ALL'!C196</f>
        <v>Dr</v>
      </c>
      <c r="D42" s="46">
        <f>'RUF WORK FOR ALL'!D196</f>
        <v>149175</v>
      </c>
      <c r="E42" s="14">
        <f>SUM(D37:D42)-SUM(D36)</f>
        <v>8367222</v>
      </c>
      <c r="F42" s="2" t="s">
        <v>40</v>
      </c>
      <c r="G42" s="14"/>
    </row>
    <row r="43" spans="1:7" ht="12.75">
      <c r="A43" s="5" t="s">
        <v>38</v>
      </c>
      <c r="B43" s="4" t="s">
        <v>39</v>
      </c>
      <c r="C43" s="8" t="str">
        <f>'RUF WORK FOR ALL'!C142</f>
        <v>Cr</v>
      </c>
      <c r="D43" s="9">
        <f>'RUF WORK FOR ALL'!D142</f>
        <v>11344438</v>
      </c>
      <c r="G43" s="14"/>
    </row>
    <row r="44" spans="1:7" ht="12.75">
      <c r="A44" s="5" t="s">
        <v>77</v>
      </c>
      <c r="B44" s="4" t="s">
        <v>39</v>
      </c>
      <c r="C44" s="8" t="str">
        <f>'RUF WORK FOR ALL'!C150</f>
        <v>Dr</v>
      </c>
      <c r="D44" s="9">
        <f>'RUF WORK FOR ALL'!D150</f>
        <v>32138916</v>
      </c>
      <c r="G44" s="14"/>
    </row>
    <row r="45" spans="1:7" ht="12.75">
      <c r="A45" s="5" t="s">
        <v>217</v>
      </c>
      <c r="B45" s="4" t="s">
        <v>39</v>
      </c>
      <c r="C45" s="8" t="str">
        <f>'RUF WORK FOR ALL'!C157</f>
        <v>Dr</v>
      </c>
      <c r="D45" s="9">
        <f>'RUF WORK FOR ALL'!D157</f>
        <v>821208</v>
      </c>
      <c r="G45" s="14"/>
    </row>
    <row r="46" spans="1:7" ht="12.75">
      <c r="A46" s="5" t="s">
        <v>248</v>
      </c>
      <c r="B46" s="4" t="s">
        <v>39</v>
      </c>
      <c r="C46" s="8" t="str">
        <f>'RUF WORK FOR ALL'!C165</f>
        <v>Dr</v>
      </c>
      <c r="D46" s="9">
        <f>'RUF WORK FOR ALL'!D165</f>
        <v>3546768</v>
      </c>
      <c r="G46" s="14"/>
    </row>
    <row r="47" spans="1:7" ht="12.75">
      <c r="A47" s="5" t="s">
        <v>275</v>
      </c>
      <c r="B47" s="4" t="s">
        <v>39</v>
      </c>
      <c r="C47" s="8" t="str">
        <f>'RUF WORK FOR ALL'!C175</f>
        <v>Dr</v>
      </c>
      <c r="D47" s="9">
        <f>'RUF WORK FOR ALL'!D175</f>
        <v>5854659</v>
      </c>
      <c r="G47" s="14"/>
    </row>
    <row r="48" spans="1:7" ht="12.75">
      <c r="A48" s="5" t="s">
        <v>36</v>
      </c>
      <c r="B48" s="4" t="s">
        <v>39</v>
      </c>
      <c r="C48" s="8" t="str">
        <f>'RUF WORK FOR ALL'!C184</f>
        <v>Dr</v>
      </c>
      <c r="D48" s="9">
        <f>'RUF WORK FOR ALL'!D184</f>
        <v>1801472</v>
      </c>
      <c r="G48" s="14"/>
    </row>
    <row r="49" spans="1:7" ht="12.75">
      <c r="A49" s="5" t="s">
        <v>41</v>
      </c>
      <c r="B49" s="4" t="s">
        <v>39</v>
      </c>
      <c r="C49" s="52" t="str">
        <f>'RUF WORK FOR ALL'!C194</f>
        <v>Cr</v>
      </c>
      <c r="D49" s="46">
        <f>'RUF WORK FOR ALL'!D194</f>
        <v>12778121</v>
      </c>
      <c r="E49" s="14">
        <f>SUM(D44:D48)-D43-D49</f>
        <v>20040464</v>
      </c>
      <c r="F49" s="2" t="s">
        <v>40</v>
      </c>
      <c r="G49" s="14"/>
    </row>
    <row r="50" spans="1:7" ht="12.75">
      <c r="A50" s="5" t="s">
        <v>38</v>
      </c>
      <c r="B50" s="4" t="s">
        <v>41</v>
      </c>
      <c r="C50" s="8" t="str">
        <f>'RUF WORK FOR ALL'!C143</f>
        <v>Cr</v>
      </c>
      <c r="D50" s="9">
        <f>'RUF WORK FOR ALL'!D143</f>
        <v>149175</v>
      </c>
      <c r="E50" s="14"/>
      <c r="F50" s="2"/>
      <c r="G50" s="14"/>
    </row>
    <row r="51" spans="1:7" ht="12.75">
      <c r="A51" s="5" t="s">
        <v>77</v>
      </c>
      <c r="B51" s="4" t="s">
        <v>41</v>
      </c>
      <c r="C51" s="8" t="str">
        <f>'RUF WORK FOR ALL'!C151</f>
        <v>Dr</v>
      </c>
      <c r="D51" s="9">
        <f>'RUF WORK FOR ALL'!D151</f>
        <v>28568517</v>
      </c>
      <c r="E51" s="14"/>
      <c r="F51" s="2"/>
      <c r="G51" s="14"/>
    </row>
    <row r="52" spans="1:7" ht="12.75">
      <c r="A52" s="5" t="s">
        <v>217</v>
      </c>
      <c r="B52" s="4" t="s">
        <v>41</v>
      </c>
      <c r="C52" s="8" t="str">
        <f>'RUF WORK FOR ALL'!C158</f>
        <v>Dr</v>
      </c>
      <c r="D52" s="9">
        <f>'RUF WORK FOR ALL'!D158</f>
        <v>2441295</v>
      </c>
      <c r="E52" s="14"/>
      <c r="F52" s="2"/>
      <c r="G52" s="14"/>
    </row>
    <row r="53" spans="1:7" ht="12.75">
      <c r="A53" s="5" t="s">
        <v>248</v>
      </c>
      <c r="B53" s="4" t="s">
        <v>41</v>
      </c>
      <c r="C53" s="8" t="str">
        <f>'RUF WORK FOR ALL'!C166</f>
        <v>Dr</v>
      </c>
      <c r="D53" s="9">
        <f>'RUF WORK FOR ALL'!D166</f>
        <v>11446330</v>
      </c>
      <c r="E53" s="14"/>
      <c r="F53" s="2"/>
      <c r="G53" s="14"/>
    </row>
    <row r="54" spans="1:7" ht="12.75">
      <c r="A54" s="5" t="s">
        <v>275</v>
      </c>
      <c r="B54" s="4" t="s">
        <v>41</v>
      </c>
      <c r="C54" s="8" t="str">
        <f>'RUF WORK FOR ALL'!C171</f>
        <v>Cr</v>
      </c>
      <c r="D54" s="9">
        <f>'RUF WORK FOR ALL'!D171</f>
        <v>4710756</v>
      </c>
      <c r="E54" s="14"/>
      <c r="F54" s="2"/>
      <c r="G54" s="14"/>
    </row>
    <row r="55" spans="1:7" ht="12.75">
      <c r="A55" s="5" t="s">
        <v>39</v>
      </c>
      <c r="B55" s="4" t="s">
        <v>41</v>
      </c>
      <c r="C55" s="8" t="str">
        <f>'RUF WORK FOR ALL'!C182</f>
        <v>Dr</v>
      </c>
      <c r="D55" s="9">
        <f>'RUF WORK FOR ALL'!D182</f>
        <v>12778121</v>
      </c>
      <c r="E55" s="14"/>
      <c r="F55" s="2"/>
      <c r="G55" s="14"/>
    </row>
    <row r="56" spans="1:7" ht="12.75">
      <c r="A56" s="5" t="s">
        <v>36</v>
      </c>
      <c r="B56" s="4" t="s">
        <v>41</v>
      </c>
      <c r="C56" s="52" t="str">
        <f>'RUF WORK FOR ALL'!C188</f>
        <v>Cr</v>
      </c>
      <c r="D56" s="46">
        <f>'RUF WORK FOR ALL'!D188</f>
        <v>4614183</v>
      </c>
      <c r="E56" s="14">
        <f>SUM(D55)+SUM(D51:D53)-D50-D54-D56</f>
        <v>45760149</v>
      </c>
      <c r="F56" s="2" t="s">
        <v>40</v>
      </c>
      <c r="G56" s="14"/>
    </row>
    <row r="57" spans="1:7" ht="12.75">
      <c r="A57" s="5" t="s">
        <v>217</v>
      </c>
      <c r="B57" s="4" t="s">
        <v>77</v>
      </c>
      <c r="C57" s="8" t="str">
        <f>'RUF WORK FOR ALL'!C155</f>
        <v>Cr</v>
      </c>
      <c r="D57" s="9">
        <f>'RUF WORK FOR ALL'!D155</f>
        <v>1457789</v>
      </c>
      <c r="E57" s="14"/>
      <c r="F57" s="2"/>
      <c r="G57" s="14"/>
    </row>
    <row r="58" spans="1:7" ht="12.75">
      <c r="A58" s="5" t="s">
        <v>39</v>
      </c>
      <c r="B58" s="4" t="s">
        <v>77</v>
      </c>
      <c r="C58" s="8" t="str">
        <f>'RUF WORK FOR ALL'!C176</f>
        <v>Cr</v>
      </c>
      <c r="D58" s="9">
        <f>'RUF WORK FOR ALL'!D176</f>
        <v>32138916</v>
      </c>
      <c r="E58" s="14"/>
      <c r="G58" s="14"/>
    </row>
    <row r="59" spans="1:7" ht="12.75">
      <c r="A59" s="5" t="s">
        <v>41</v>
      </c>
      <c r="B59" s="4" t="s">
        <v>77</v>
      </c>
      <c r="C59" s="8" t="str">
        <f>'RUF WORK FOR ALL'!C190</f>
        <v>Cr</v>
      </c>
      <c r="D59" s="9">
        <f>'RUF WORK FOR ALL'!D190</f>
        <v>28568517</v>
      </c>
      <c r="E59" s="14"/>
      <c r="G59" s="14"/>
    </row>
    <row r="60" spans="1:7" ht="12.75">
      <c r="A60" s="5" t="s">
        <v>248</v>
      </c>
      <c r="B60" s="4" t="s">
        <v>77</v>
      </c>
      <c r="C60" s="8" t="str">
        <f>'RUF WORK FOR ALL'!C167</f>
        <v>Dr</v>
      </c>
      <c r="D60" s="9">
        <f>'RUF WORK FOR ALL'!D167</f>
        <v>16700766</v>
      </c>
      <c r="E60" s="14"/>
      <c r="G60" s="14"/>
    </row>
    <row r="61" spans="1:7" ht="12.75">
      <c r="A61" s="5" t="s">
        <v>275</v>
      </c>
      <c r="B61" s="4" t="s">
        <v>77</v>
      </c>
      <c r="C61" s="8" t="str">
        <f>'RUF WORK FOR ALL'!C174</f>
        <v>Dr</v>
      </c>
      <c r="D61" s="9">
        <f>'RUF WORK FOR ALL'!D174</f>
        <v>6866163</v>
      </c>
      <c r="E61" s="14"/>
      <c r="G61" s="14"/>
    </row>
    <row r="62" spans="1:7" ht="12.75">
      <c r="A62" s="5" t="s">
        <v>36</v>
      </c>
      <c r="B62" s="4" t="s">
        <v>77</v>
      </c>
      <c r="C62" s="8" t="str">
        <f>'RUF WORK FOR ALL'!C185</f>
        <v>Dr</v>
      </c>
      <c r="D62" s="9">
        <f>'RUF WORK FOR ALL'!D185</f>
        <v>1127990</v>
      </c>
      <c r="E62" s="14"/>
      <c r="G62" s="14"/>
    </row>
    <row r="63" spans="1:7" ht="12.75">
      <c r="A63" s="5" t="s">
        <v>38</v>
      </c>
      <c r="B63" s="4" t="s">
        <v>78</v>
      </c>
      <c r="C63" s="52" t="str">
        <f>'RUF WORK FOR ALL'!C144</f>
        <v>Dr</v>
      </c>
      <c r="D63" s="46">
        <f>'RUF WORK FOR ALL'!D144</f>
        <v>5036503</v>
      </c>
      <c r="E63" s="14">
        <f>SUM(D57:D59)-SUM(D60:D63)</f>
        <v>32433800</v>
      </c>
      <c r="F63" s="2" t="s">
        <v>37</v>
      </c>
      <c r="G63" s="14"/>
    </row>
    <row r="64" spans="1:7" ht="12.75">
      <c r="A64" s="5" t="s">
        <v>38</v>
      </c>
      <c r="B64" s="4" t="s">
        <v>224</v>
      </c>
      <c r="C64" s="8" t="str">
        <f>'RUF WORK FOR ALL'!C145</f>
        <v>Cr</v>
      </c>
      <c r="D64" s="9">
        <f>'RUF WORK FOR ALL'!D145</f>
        <v>49587</v>
      </c>
      <c r="E64" s="14"/>
      <c r="F64" s="2"/>
      <c r="G64" s="14"/>
    </row>
    <row r="65" spans="1:7" ht="12.75">
      <c r="A65" s="5" t="s">
        <v>77</v>
      </c>
      <c r="B65" s="4" t="s">
        <v>224</v>
      </c>
      <c r="C65" s="8" t="str">
        <f>'RUF WORK FOR ALL'!C152</f>
        <v>Dr</v>
      </c>
      <c r="D65" s="9">
        <f>'RUF WORK FOR ALL'!D152</f>
        <v>1457789</v>
      </c>
      <c r="G65" s="14"/>
    </row>
    <row r="66" spans="1:7" ht="12.75">
      <c r="A66" s="5" t="s">
        <v>248</v>
      </c>
      <c r="B66" s="4" t="s">
        <v>224</v>
      </c>
      <c r="C66" s="8" t="str">
        <f>'RUF WORK FOR ALL'!C163</f>
        <v>Cr</v>
      </c>
      <c r="D66" s="9">
        <f>'RUF WORK FOR ALL'!D163</f>
        <v>39308</v>
      </c>
      <c r="G66" s="14"/>
    </row>
    <row r="67" spans="1:7" ht="12.75">
      <c r="A67" s="5" t="s">
        <v>275</v>
      </c>
      <c r="B67" s="4" t="s">
        <v>224</v>
      </c>
      <c r="C67" s="8" t="str">
        <f>'RUF WORK FOR ALL'!C172</f>
        <v>Cr</v>
      </c>
      <c r="D67" s="9">
        <f>'RUF WORK FOR ALL'!D172</f>
        <v>311703</v>
      </c>
      <c r="G67" s="14"/>
    </row>
    <row r="68" spans="1:7" ht="12.75">
      <c r="A68" s="5" t="s">
        <v>39</v>
      </c>
      <c r="B68" s="4" t="s">
        <v>224</v>
      </c>
      <c r="C68" s="8" t="str">
        <f>'RUF WORK FOR ALL'!C177</f>
        <v>Cr</v>
      </c>
      <c r="D68" s="9">
        <f>'RUF WORK FOR ALL'!D177</f>
        <v>821208</v>
      </c>
      <c r="G68" s="14"/>
    </row>
    <row r="69" spans="1:7" ht="12.75">
      <c r="A69" s="5" t="s">
        <v>36</v>
      </c>
      <c r="B69" s="4" t="s">
        <v>224</v>
      </c>
      <c r="C69" s="8" t="str">
        <f>'RUF WORK FOR ALL'!C187</f>
        <v>Cr</v>
      </c>
      <c r="D69" s="9">
        <f>'RUF WORK FOR ALL'!D187</f>
        <v>1599339</v>
      </c>
      <c r="G69" s="14"/>
    </row>
    <row r="70" spans="1:7" ht="12.75">
      <c r="A70" s="5" t="s">
        <v>41</v>
      </c>
      <c r="B70" s="4" t="s">
        <v>224</v>
      </c>
      <c r="C70" s="52" t="str">
        <f>'RUF WORK FOR ALL'!C192</f>
        <v>Cr</v>
      </c>
      <c r="D70" s="46">
        <f>'RUF WORK FOR ALL'!D192</f>
        <v>2441295</v>
      </c>
      <c r="E70" s="14">
        <f>SUM(D66:D70)+D64-D65</f>
        <v>3804651</v>
      </c>
      <c r="F70" s="2" t="s">
        <v>37</v>
      </c>
      <c r="G70" s="14"/>
    </row>
    <row r="71" spans="1:7" ht="12.75">
      <c r="A71" s="5" t="s">
        <v>38</v>
      </c>
      <c r="B71" s="4" t="s">
        <v>223</v>
      </c>
      <c r="C71" s="8" t="str">
        <f>'RUF WORK FOR ALL'!C146</f>
        <v>Cr</v>
      </c>
      <c r="D71" s="9">
        <f>'RUF WORK FOR ALL'!D146</f>
        <v>199587</v>
      </c>
      <c r="E71" s="14"/>
      <c r="F71" s="2"/>
      <c r="G71" s="14"/>
    </row>
    <row r="72" spans="1:7" ht="12.75">
      <c r="A72" s="5" t="s">
        <v>77</v>
      </c>
      <c r="B72" s="4" t="s">
        <v>223</v>
      </c>
      <c r="C72" s="8" t="str">
        <f>'RUF WORK FOR ALL'!C153</f>
        <v>Cr</v>
      </c>
      <c r="D72" s="9">
        <f>'RUF WORK FOR ALL'!D153</f>
        <v>16700766</v>
      </c>
      <c r="E72" s="14"/>
      <c r="F72" s="2"/>
      <c r="G72" s="14"/>
    </row>
    <row r="73" spans="1:7" ht="12.75">
      <c r="A73" s="5" t="s">
        <v>217</v>
      </c>
      <c r="B73" s="4" t="s">
        <v>223</v>
      </c>
      <c r="C73" s="8" t="str">
        <f>'RUF WORK FOR ALL'!C159</f>
        <v>Dr</v>
      </c>
      <c r="D73" s="9">
        <f>'RUF WORK FOR ALL'!D159</f>
        <v>39308</v>
      </c>
      <c r="E73" s="14"/>
      <c r="F73" s="2"/>
      <c r="G73" s="14"/>
    </row>
    <row r="74" spans="1:7" ht="12.75">
      <c r="A74" s="5" t="s">
        <v>275</v>
      </c>
      <c r="B74" s="4" t="s">
        <v>223</v>
      </c>
      <c r="C74" s="8" t="str">
        <f>'RUF WORK FOR ALL'!C173</f>
        <v>Cr</v>
      </c>
      <c r="D74" s="9">
        <f>'RUF WORK FOR ALL'!D173</f>
        <v>1037376</v>
      </c>
      <c r="E74" s="14"/>
      <c r="F74" s="2"/>
      <c r="G74" s="14"/>
    </row>
    <row r="75" spans="1:7" ht="12.75">
      <c r="A75" s="5" t="s">
        <v>39</v>
      </c>
      <c r="B75" s="4" t="s">
        <v>223</v>
      </c>
      <c r="C75" s="8" t="str">
        <f>'RUF WORK FOR ALL'!C178</f>
        <v>Cr</v>
      </c>
      <c r="D75" s="9">
        <f>'RUF WORK FOR ALL'!D178</f>
        <v>3546768</v>
      </c>
      <c r="E75" s="14"/>
      <c r="F75" s="2"/>
      <c r="G75" s="14"/>
    </row>
    <row r="76" spans="1:7" ht="12.75">
      <c r="A76" s="5" t="s">
        <v>36</v>
      </c>
      <c r="B76" s="4" t="s">
        <v>398</v>
      </c>
      <c r="C76" s="8" t="str">
        <f>'RUF WORK FOR ALL'!C186</f>
        <v>Cr</v>
      </c>
      <c r="D76" s="9">
        <f>'RUF WORK FOR ALL'!D186</f>
        <v>2515075</v>
      </c>
      <c r="E76" s="14"/>
      <c r="F76" s="2"/>
      <c r="G76" s="14"/>
    </row>
    <row r="77" spans="1:7" ht="12.75">
      <c r="A77" s="5" t="s">
        <v>41</v>
      </c>
      <c r="B77" s="4" t="s">
        <v>223</v>
      </c>
      <c r="C77" s="52" t="str">
        <f>'RUF WORK FOR ALL'!C193</f>
        <v>Cr</v>
      </c>
      <c r="D77" s="46">
        <f>'RUF WORK FOR ALL'!D193</f>
        <v>11446330</v>
      </c>
      <c r="E77" s="14">
        <f>SUM(D74:D77)+SUM(D71:D72)-D73</f>
        <v>35406594</v>
      </c>
      <c r="F77" s="2" t="s">
        <v>37</v>
      </c>
      <c r="G77" s="14"/>
    </row>
    <row r="78" spans="1:7" ht="12.75">
      <c r="A78" s="5" t="s">
        <v>38</v>
      </c>
      <c r="B78" s="4" t="s">
        <v>225</v>
      </c>
      <c r="C78" s="8" t="str">
        <f>'RUF WORK FOR ALL'!C147</f>
        <v>Cr</v>
      </c>
      <c r="D78" s="9">
        <f>'RUF WORK FOR ALL'!D147</f>
        <v>61351</v>
      </c>
      <c r="E78" s="48"/>
      <c r="F78" s="2"/>
      <c r="G78" s="14"/>
    </row>
    <row r="79" spans="1:7" ht="12.75">
      <c r="A79" s="5" t="s">
        <v>77</v>
      </c>
      <c r="B79" s="4" t="s">
        <v>225</v>
      </c>
      <c r="C79" s="8" t="str">
        <f>'RUF WORK FOR ALL'!C154</f>
        <v>Cr</v>
      </c>
      <c r="D79" s="9">
        <f>'RUF WORK FOR ALL'!D154</f>
        <v>6866163</v>
      </c>
      <c r="E79" s="4"/>
      <c r="F79" s="4"/>
      <c r="G79" s="14"/>
    </row>
    <row r="80" spans="1:7" ht="12.75">
      <c r="A80" s="5" t="s">
        <v>217</v>
      </c>
      <c r="B80" s="4" t="s">
        <v>225</v>
      </c>
      <c r="C80" s="8" t="str">
        <f>'RUF WORK FOR ALL'!C160</f>
        <v>Dr</v>
      </c>
      <c r="D80" s="9">
        <f>'RUF WORK FOR ALL'!D160</f>
        <v>311703</v>
      </c>
      <c r="E80" s="4"/>
      <c r="F80" s="4"/>
      <c r="G80" s="14"/>
    </row>
    <row r="81" spans="1:7" ht="12.75">
      <c r="A81" s="5" t="s">
        <v>248</v>
      </c>
      <c r="B81" s="4" t="s">
        <v>225</v>
      </c>
      <c r="C81" s="8" t="str">
        <f>'RUF WORK FOR ALL'!C168</f>
        <v>Dr</v>
      </c>
      <c r="D81" s="9">
        <f>'RUF WORK FOR ALL'!D168</f>
        <v>1037376</v>
      </c>
      <c r="E81" s="4"/>
      <c r="F81" s="4"/>
      <c r="G81" s="14"/>
    </row>
    <row r="82" spans="1:7" ht="12.75">
      <c r="A82" s="5" t="s">
        <v>39</v>
      </c>
      <c r="B82" s="4" t="s">
        <v>225</v>
      </c>
      <c r="C82" s="8" t="str">
        <f>'RUF WORK FOR ALL'!C179</f>
        <v>Cr</v>
      </c>
      <c r="D82" s="9">
        <f>'RUF WORK FOR ALL'!D179</f>
        <v>5854659</v>
      </c>
      <c r="E82" s="4"/>
      <c r="F82" s="4"/>
      <c r="G82" s="14"/>
    </row>
    <row r="83" spans="1:7" ht="12.75">
      <c r="A83" s="5" t="s">
        <v>36</v>
      </c>
      <c r="B83" s="4" t="s">
        <v>225</v>
      </c>
      <c r="C83" s="8" t="str">
        <f>'RUF WORK FOR ALL'!C189</f>
        <v>Dr</v>
      </c>
      <c r="D83" s="9">
        <f>'RUF WORK FOR ALL'!D189</f>
        <v>2549260</v>
      </c>
      <c r="E83" s="4"/>
      <c r="F83" s="4"/>
      <c r="G83" s="14"/>
    </row>
    <row r="84" spans="1:10" ht="12.75">
      <c r="A84" s="5" t="s">
        <v>41</v>
      </c>
      <c r="B84" s="4" t="s">
        <v>225</v>
      </c>
      <c r="C84" s="52" t="str">
        <f>'RUF WORK FOR ALL'!C195</f>
        <v>Dr</v>
      </c>
      <c r="D84" s="46">
        <f>'RUF WORK FOR ALL'!D195</f>
        <v>4710756</v>
      </c>
      <c r="E84" s="48">
        <f>SUM(D78:D79)+D82-SUM(D80:D81)-SUM(D83:D84)</f>
        <v>4173078</v>
      </c>
      <c r="F84" s="2" t="s">
        <v>37</v>
      </c>
      <c r="G84" s="14">
        <f>(SUM(E63:E77)+E84)-(SUM(E35:E56))</f>
        <v>0</v>
      </c>
      <c r="H84" s="2"/>
      <c r="I84" s="14"/>
      <c r="J84" s="14"/>
    </row>
    <row r="85" spans="4:7" ht="12.75">
      <c r="D85" s="18"/>
      <c r="G85" s="14"/>
    </row>
    <row r="86" spans="4:7" ht="12.75">
      <c r="D86" s="18"/>
      <c r="G86" s="14"/>
    </row>
    <row r="87" spans="2:7" ht="12.75">
      <c r="B87" s="1" t="s">
        <v>452</v>
      </c>
      <c r="C87" s="2"/>
      <c r="D87" s="3"/>
      <c r="G87" s="14"/>
    </row>
    <row r="88" spans="1:7" ht="12.75">
      <c r="A88" s="5" t="s">
        <v>453</v>
      </c>
      <c r="B88" s="4" t="s">
        <v>160</v>
      </c>
      <c r="D88" s="9">
        <f>'RUF WORK FOR ALL'!D308</f>
        <v>689332</v>
      </c>
      <c r="G88" s="14"/>
    </row>
    <row r="89" spans="1:7" ht="12.75">
      <c r="A89" s="5" t="s">
        <v>39</v>
      </c>
      <c r="B89" s="4" t="s">
        <v>160</v>
      </c>
      <c r="D89" s="9">
        <f>'RUF WORK FOR ALL'!D309</f>
        <v>4838750</v>
      </c>
      <c r="G89" s="14"/>
    </row>
    <row r="90" spans="1:10" ht="12.75">
      <c r="A90" s="5" t="s">
        <v>41</v>
      </c>
      <c r="B90" s="4" t="s">
        <v>462</v>
      </c>
      <c r="D90" s="46">
        <f>'RUF WORK FOR ALL'!D310</f>
        <v>1056243</v>
      </c>
      <c r="E90" s="14">
        <f>SUM(D88:D90)</f>
        <v>6584325</v>
      </c>
      <c r="G90" s="14">
        <f>E90</f>
        <v>6584325</v>
      </c>
      <c r="I90" s="14"/>
      <c r="J90" s="14"/>
    </row>
    <row r="91" spans="4:10" ht="12.75">
      <c r="D91" s="9"/>
      <c r="E91" s="14"/>
      <c r="G91" s="14"/>
      <c r="I91" s="14"/>
      <c r="J91" s="14"/>
    </row>
    <row r="92" spans="2:7" ht="12.75">
      <c r="B92" s="7"/>
      <c r="D92" s="9"/>
      <c r="G92" s="14"/>
    </row>
    <row r="93" spans="2:7" ht="12.75">
      <c r="B93" s="1" t="s">
        <v>332</v>
      </c>
      <c r="C93" s="2"/>
      <c r="D93" s="3"/>
      <c r="G93" s="14"/>
    </row>
    <row r="94" spans="1:7" ht="12.75">
      <c r="A94" s="5" t="s">
        <v>38</v>
      </c>
      <c r="B94" s="4" t="s">
        <v>79</v>
      </c>
      <c r="C94" s="8" t="str">
        <f>'RUF WORK FOR ALL'!C315</f>
        <v>Cr</v>
      </c>
      <c r="D94" s="9">
        <f>'RUF WORK FOR ALL'!D315</f>
        <v>14000</v>
      </c>
      <c r="G94" s="14"/>
    </row>
    <row r="95" spans="1:7" ht="12.75">
      <c r="A95" s="5" t="s">
        <v>38</v>
      </c>
      <c r="B95" s="4" t="s">
        <v>81</v>
      </c>
      <c r="C95" s="8" t="str">
        <f>'RUF WORK FOR ALL'!C317</f>
        <v>Cr</v>
      </c>
      <c r="D95" s="9">
        <f>'RUF WORK FOR ALL'!D317</f>
        <v>6375</v>
      </c>
      <c r="G95" s="14"/>
    </row>
    <row r="96" spans="1:7" ht="12.75">
      <c r="A96" s="5" t="s">
        <v>38</v>
      </c>
      <c r="B96" s="4" t="s">
        <v>80</v>
      </c>
      <c r="C96" s="8" t="str">
        <f>'RUF WORK FOR ALL'!C316</f>
        <v>Cr</v>
      </c>
      <c r="D96" s="9">
        <f>'RUF WORK FOR ALL'!D316</f>
        <v>11000</v>
      </c>
      <c r="G96" s="14"/>
    </row>
    <row r="97" spans="1:7" ht="12.75">
      <c r="A97" s="5" t="s">
        <v>38</v>
      </c>
      <c r="B97" s="4" t="s">
        <v>82</v>
      </c>
      <c r="C97" s="8" t="str">
        <f>'RUF WORK FOR ALL'!C318</f>
        <v>Cr</v>
      </c>
      <c r="D97" s="9">
        <f>'RUF WORK FOR ALL'!D318</f>
        <v>18500</v>
      </c>
      <c r="G97" s="14"/>
    </row>
    <row r="98" spans="1:7" ht="12.75">
      <c r="A98" s="5" t="s">
        <v>38</v>
      </c>
      <c r="B98" s="4" t="s">
        <v>83</v>
      </c>
      <c r="C98" s="8" t="str">
        <f>'RUF WORK FOR ALL'!C319</f>
        <v>Cr</v>
      </c>
      <c r="D98" s="9">
        <f>'RUF WORK FOR ALL'!D319</f>
        <v>11500</v>
      </c>
      <c r="G98" s="14"/>
    </row>
    <row r="99" spans="1:7" ht="12.75">
      <c r="A99" s="5" t="s">
        <v>38</v>
      </c>
      <c r="B99" s="4" t="s">
        <v>84</v>
      </c>
      <c r="C99" s="8" t="str">
        <f>'RUF WORK FOR ALL'!C320</f>
        <v>Cr</v>
      </c>
      <c r="D99" s="9">
        <f>'RUF WORK FOR ALL'!D320</f>
        <v>10000</v>
      </c>
      <c r="G99" s="14"/>
    </row>
    <row r="100" spans="1:7" ht="12.75">
      <c r="A100" s="5" t="s">
        <v>38</v>
      </c>
      <c r="B100" s="4" t="s">
        <v>85</v>
      </c>
      <c r="C100" s="8" t="str">
        <f>'RUF WORK FOR ALL'!C321</f>
        <v>Cr</v>
      </c>
      <c r="D100" s="9">
        <f>'RUF WORK FOR ALL'!D321</f>
        <v>4570</v>
      </c>
      <c r="G100" s="14"/>
    </row>
    <row r="101" spans="1:7" ht="12.75">
      <c r="A101" s="5" t="s">
        <v>38</v>
      </c>
      <c r="B101" s="4" t="s">
        <v>86</v>
      </c>
      <c r="C101" s="8" t="str">
        <f>'RUF WORK FOR ALL'!C322</f>
        <v>Cr</v>
      </c>
      <c r="D101" s="9">
        <f>'RUF WORK FOR ALL'!D322</f>
        <v>11000</v>
      </c>
      <c r="G101" s="14"/>
    </row>
    <row r="102" spans="1:7" ht="12.75">
      <c r="A102" s="5" t="s">
        <v>38</v>
      </c>
      <c r="B102" s="4" t="s">
        <v>87</v>
      </c>
      <c r="C102" s="8" t="str">
        <f>'RUF WORK FOR ALL'!C323</f>
        <v>Cr</v>
      </c>
      <c r="D102" s="9">
        <f>'RUF WORK FOR ALL'!D323</f>
        <v>4000</v>
      </c>
      <c r="G102" s="14"/>
    </row>
    <row r="103" spans="1:10" ht="12.75">
      <c r="A103" s="5" t="s">
        <v>38</v>
      </c>
      <c r="B103" s="4" t="s">
        <v>88</v>
      </c>
      <c r="C103" s="52" t="str">
        <f>'RUF WORK FOR ALL'!C324</f>
        <v>Cr</v>
      </c>
      <c r="D103" s="46">
        <f>'RUF WORK FOR ALL'!D324</f>
        <v>10000</v>
      </c>
      <c r="E103" s="9">
        <f>SUM(D94:D103)</f>
        <v>100945</v>
      </c>
      <c r="F103" s="2"/>
      <c r="G103" s="14">
        <f>E103</f>
        <v>100945</v>
      </c>
      <c r="H103" s="2"/>
      <c r="I103" s="14"/>
      <c r="J103" s="14"/>
    </row>
    <row r="104" spans="2:7" ht="12.75">
      <c r="B104" s="7"/>
      <c r="D104" s="9"/>
      <c r="E104" s="9"/>
      <c r="G104" s="14"/>
    </row>
    <row r="105" spans="4:7" ht="12.75">
      <c r="D105" s="18"/>
      <c r="G105" s="14"/>
    </row>
    <row r="106" spans="4:7" ht="12.75">
      <c r="D106" s="18"/>
      <c r="G106" s="14"/>
    </row>
    <row r="107" spans="2:7" ht="12.75">
      <c r="B107" s="1" t="s">
        <v>671</v>
      </c>
      <c r="C107" s="2"/>
      <c r="D107" s="18"/>
      <c r="G107" s="14"/>
    </row>
    <row r="108" spans="1:7" ht="12.75">
      <c r="A108" s="5" t="s">
        <v>36</v>
      </c>
      <c r="B108" s="4" t="s">
        <v>461</v>
      </c>
      <c r="D108" s="47">
        <f>'RUF WORK FOR ALL'!D41</f>
        <v>419000</v>
      </c>
      <c r="E108" s="14">
        <f>D108</f>
        <v>419000</v>
      </c>
      <c r="G108" s="14"/>
    </row>
    <row r="109" spans="1:7" ht="12.75">
      <c r="A109" s="5" t="s">
        <v>39</v>
      </c>
      <c r="B109" s="4" t="s">
        <v>449</v>
      </c>
      <c r="D109" s="18">
        <f>'RUF WORK FOR ALL'!D37</f>
        <v>70000</v>
      </c>
      <c r="E109" s="14"/>
      <c r="G109" s="14"/>
    </row>
    <row r="110" spans="1:7" ht="12.75">
      <c r="A110" s="5" t="s">
        <v>77</v>
      </c>
      <c r="B110" s="4" t="s">
        <v>9</v>
      </c>
      <c r="D110" s="47">
        <f>'RUF WORK FOR ALL'!D34</f>
        <v>30000</v>
      </c>
      <c r="E110" s="14">
        <f>SUM(D109:D110)</f>
        <v>100000</v>
      </c>
      <c r="G110" s="14"/>
    </row>
    <row r="111" spans="1:7" ht="12.75">
      <c r="A111" s="5" t="s">
        <v>77</v>
      </c>
      <c r="B111" s="4" t="s">
        <v>10</v>
      </c>
      <c r="D111" s="18">
        <f>'RUF WORK FOR ALL'!D35</f>
        <v>24314</v>
      </c>
      <c r="G111" s="14"/>
    </row>
    <row r="112" spans="1:7" ht="12.75">
      <c r="A112" s="5" t="s">
        <v>39</v>
      </c>
      <c r="B112" s="4" t="s">
        <v>10</v>
      </c>
      <c r="D112" s="18">
        <f>'RUF WORK FOR ALL'!D38</f>
        <v>18282</v>
      </c>
      <c r="E112" s="14"/>
      <c r="G112" s="14"/>
    </row>
    <row r="113" spans="1:7" ht="12.75">
      <c r="A113" s="5" t="s">
        <v>41</v>
      </c>
      <c r="B113" s="4" t="s">
        <v>10</v>
      </c>
      <c r="D113" s="47">
        <f>'RUF WORK FOR ALL'!D43</f>
        <v>3353</v>
      </c>
      <c r="E113" s="14">
        <f>SUM(D111:D113)</f>
        <v>45949</v>
      </c>
      <c r="G113" s="14"/>
    </row>
    <row r="114" spans="1:7" ht="12.75">
      <c r="A114" s="5" t="s">
        <v>77</v>
      </c>
      <c r="B114" s="4" t="s">
        <v>11</v>
      </c>
      <c r="D114" s="18">
        <f>'RUF WORK FOR ALL'!D36</f>
        <v>1639809</v>
      </c>
      <c r="G114" s="14"/>
    </row>
    <row r="115" spans="1:7" ht="12.75">
      <c r="A115" s="5" t="s">
        <v>39</v>
      </c>
      <c r="B115" s="4" t="s">
        <v>11</v>
      </c>
      <c r="D115" s="18">
        <f>'RUF WORK FOR ALL'!D39</f>
        <v>1058893</v>
      </c>
      <c r="G115" s="14"/>
    </row>
    <row r="116" spans="1:7" ht="12.75">
      <c r="A116" s="5" t="s">
        <v>36</v>
      </c>
      <c r="B116" s="4" t="s">
        <v>11</v>
      </c>
      <c r="D116" s="18">
        <f>'RUF WORK FOR ALL'!D42</f>
        <v>49885</v>
      </c>
      <c r="E116" s="14"/>
      <c r="G116" s="14"/>
    </row>
    <row r="117" spans="1:7" ht="12.75">
      <c r="A117" s="5" t="s">
        <v>41</v>
      </c>
      <c r="B117" s="4" t="s">
        <v>11</v>
      </c>
      <c r="D117" s="47">
        <f>'RUF WORK FOR ALL'!D44</f>
        <v>279636</v>
      </c>
      <c r="E117" s="14">
        <f>SUM(D114:D117)</f>
        <v>3028223</v>
      </c>
      <c r="G117" s="14"/>
    </row>
    <row r="118" spans="1:7" ht="12.75">
      <c r="A118" s="5" t="s">
        <v>39</v>
      </c>
      <c r="B118" s="4" t="s">
        <v>348</v>
      </c>
      <c r="D118" s="18">
        <f>'RUF WORK FOR ALL'!D40</f>
        <v>4571040</v>
      </c>
      <c r="E118" s="4"/>
      <c r="G118" s="14"/>
    </row>
    <row r="119" spans="1:7" ht="12.75">
      <c r="A119" s="5" t="s">
        <v>41</v>
      </c>
      <c r="B119" s="4" t="s">
        <v>348</v>
      </c>
      <c r="D119" s="18">
        <f>'RUF WORK FOR ALL'!D45</f>
        <v>899300</v>
      </c>
      <c r="E119" s="4"/>
      <c r="G119" s="14"/>
    </row>
    <row r="120" spans="1:7" ht="12.75">
      <c r="A120" s="5" t="s">
        <v>77</v>
      </c>
      <c r="B120" s="4" t="s">
        <v>450</v>
      </c>
      <c r="D120" s="18">
        <f>'RUF WORK FOR ALL'!D32</f>
        <v>10425150</v>
      </c>
      <c r="E120" s="48"/>
      <c r="G120" s="14"/>
    </row>
    <row r="121" spans="1:10" ht="12.75">
      <c r="A121" s="5" t="s">
        <v>77</v>
      </c>
      <c r="B121" s="4" t="s">
        <v>451</v>
      </c>
      <c r="D121" s="47">
        <f>'RUF WORK FOR ALL'!D33</f>
        <v>581000</v>
      </c>
      <c r="E121" s="14">
        <f>SUM(D118:D121)</f>
        <v>16476490</v>
      </c>
      <c r="G121" s="14">
        <f>SUM(E108:E121)</f>
        <v>20069662</v>
      </c>
      <c r="I121" s="14"/>
      <c r="J121" s="14"/>
    </row>
    <row r="122" spans="4:7" ht="12.75">
      <c r="D122" s="18"/>
      <c r="E122" s="4"/>
      <c r="G122" s="14"/>
    </row>
    <row r="123" spans="4:7" ht="12.75">
      <c r="D123" s="18"/>
      <c r="E123" s="4"/>
      <c r="G123" s="14"/>
    </row>
    <row r="124" spans="2:7" ht="12.75">
      <c r="B124" s="1" t="s">
        <v>324</v>
      </c>
      <c r="C124" s="2"/>
      <c r="D124" s="3"/>
      <c r="G124" s="14"/>
    </row>
    <row r="125" spans="1:7" ht="12.75">
      <c r="A125" s="5" t="s">
        <v>77</v>
      </c>
      <c r="B125" s="4" t="s">
        <v>22</v>
      </c>
      <c r="D125" s="9">
        <f>'RUF WORK FOR ALL'!D111</f>
        <v>132500</v>
      </c>
      <c r="G125" s="14"/>
    </row>
    <row r="126" spans="1:7" ht="12.75">
      <c r="A126" s="5" t="s">
        <v>248</v>
      </c>
      <c r="B126" s="4" t="s">
        <v>249</v>
      </c>
      <c r="D126" s="9">
        <f>'RUF WORK FOR ALL'!D115</f>
        <v>163600</v>
      </c>
      <c r="G126" s="14"/>
    </row>
    <row r="127" spans="1:7" ht="12.75">
      <c r="A127" s="5" t="s">
        <v>248</v>
      </c>
      <c r="B127" s="4" t="s">
        <v>250</v>
      </c>
      <c r="D127" s="9">
        <f>'RUF WORK FOR ALL'!D116</f>
        <v>4656400</v>
      </c>
      <c r="G127" s="14"/>
    </row>
    <row r="128" spans="1:7" ht="12.75">
      <c r="A128" s="5" t="s">
        <v>77</v>
      </c>
      <c r="B128" s="4" t="s">
        <v>23</v>
      </c>
      <c r="D128" s="9">
        <f>'RUF WORK FOR ALL'!D112</f>
        <v>0</v>
      </c>
      <c r="E128" s="14"/>
      <c r="G128" s="14"/>
    </row>
    <row r="129" spans="1:7" ht="12.75">
      <c r="A129" s="5" t="s">
        <v>77</v>
      </c>
      <c r="B129" s="4" t="s">
        <v>24</v>
      </c>
      <c r="D129" s="9">
        <f>'RUF WORK FOR ALL'!D113</f>
        <v>311650</v>
      </c>
      <c r="G129" s="14"/>
    </row>
    <row r="130" spans="1:7" ht="12.75">
      <c r="A130" s="5" t="s">
        <v>77</v>
      </c>
      <c r="B130" s="4" t="s">
        <v>25</v>
      </c>
      <c r="D130" s="9">
        <f>'RUF WORK FOR ALL'!D114</f>
        <v>7094875</v>
      </c>
      <c r="E130" s="14"/>
      <c r="G130" s="14"/>
    </row>
    <row r="131" spans="1:10" ht="12.75">
      <c r="A131" s="5" t="s">
        <v>275</v>
      </c>
      <c r="B131" s="4" t="s">
        <v>459</v>
      </c>
      <c r="D131" s="46">
        <f>'RUF WORK FOR ALL'!D117</f>
        <v>1731225</v>
      </c>
      <c r="E131" s="14">
        <f>SUM(D125:D131)</f>
        <v>14090250</v>
      </c>
      <c r="G131" s="14">
        <f>E131</f>
        <v>14090250</v>
      </c>
      <c r="I131" s="14"/>
      <c r="J131" s="14"/>
    </row>
    <row r="132" spans="4:7" ht="12.75">
      <c r="D132" s="18"/>
      <c r="E132" s="4"/>
      <c r="G132" s="14"/>
    </row>
    <row r="133" spans="4:7" ht="12.75">
      <c r="D133" s="18"/>
      <c r="E133" s="4"/>
      <c r="G133" s="14"/>
    </row>
    <row r="134" spans="2:7" ht="12.75">
      <c r="B134" s="1" t="s">
        <v>321</v>
      </c>
      <c r="C134" s="2"/>
      <c r="D134" s="18"/>
      <c r="G134" s="14"/>
    </row>
    <row r="135" spans="1:7" ht="12.75">
      <c r="A135" s="5" t="s">
        <v>36</v>
      </c>
      <c r="B135" s="4" t="s">
        <v>401</v>
      </c>
      <c r="D135" s="18">
        <f>'RUF WORK FOR ALL'!D59</f>
        <v>4561</v>
      </c>
      <c r="G135" s="14"/>
    </row>
    <row r="136" spans="1:7" ht="12.75">
      <c r="A136" s="5" t="s">
        <v>41</v>
      </c>
      <c r="B136" s="4" t="s">
        <v>415</v>
      </c>
      <c r="D136" s="18">
        <f>'RUF WORK FOR ALL'!D60</f>
        <v>20000</v>
      </c>
      <c r="G136" s="14"/>
    </row>
    <row r="137" spans="1:7" ht="12.75">
      <c r="A137" s="5" t="s">
        <v>41</v>
      </c>
      <c r="B137" s="4" t="s">
        <v>416</v>
      </c>
      <c r="D137" s="18">
        <f>'RUF WORK FOR ALL'!D61</f>
        <v>564025</v>
      </c>
      <c r="G137" s="14"/>
    </row>
    <row r="138" spans="1:7" ht="12.75">
      <c r="A138" s="5" t="s">
        <v>217</v>
      </c>
      <c r="B138" s="4" t="s">
        <v>219</v>
      </c>
      <c r="D138" s="18">
        <f>'RUF WORK FOR ALL'!D52</f>
        <v>9000</v>
      </c>
      <c r="E138" s="14"/>
      <c r="G138" s="14"/>
    </row>
    <row r="139" spans="1:7" ht="12.75">
      <c r="A139" s="5" t="s">
        <v>39</v>
      </c>
      <c r="B139" s="4" t="s">
        <v>317</v>
      </c>
      <c r="D139" s="18">
        <f>'RUF WORK FOR ALL'!D56</f>
        <v>8267</v>
      </c>
      <c r="E139" s="14"/>
      <c r="G139" s="14"/>
    </row>
    <row r="140" spans="1:7" ht="12.75">
      <c r="A140" s="5" t="s">
        <v>41</v>
      </c>
      <c r="B140" s="4" t="s">
        <v>417</v>
      </c>
      <c r="D140" s="18">
        <f>'RUF WORK FOR ALL'!D62</f>
        <v>13900</v>
      </c>
      <c r="E140" s="14"/>
      <c r="G140" s="14"/>
    </row>
    <row r="141" spans="1:7" ht="12.75">
      <c r="A141" s="5" t="s">
        <v>217</v>
      </c>
      <c r="B141" s="4" t="s">
        <v>220</v>
      </c>
      <c r="D141" s="18">
        <f>'RUF WORK FOR ALL'!D53</f>
        <v>201998</v>
      </c>
      <c r="E141" s="14"/>
      <c r="G141" s="14"/>
    </row>
    <row r="142" spans="1:7" ht="12.75">
      <c r="A142" s="5" t="s">
        <v>39</v>
      </c>
      <c r="B142" s="4" t="s">
        <v>318</v>
      </c>
      <c r="D142" s="18">
        <f>'RUF WORK FOR ALL'!D57</f>
        <v>85308</v>
      </c>
      <c r="E142" s="14"/>
      <c r="G142" s="14"/>
    </row>
    <row r="143" spans="1:7" ht="12.75">
      <c r="A143" s="5" t="s">
        <v>217</v>
      </c>
      <c r="B143" s="4" t="s">
        <v>221</v>
      </c>
      <c r="D143" s="18">
        <f>'RUF WORK FOR ALL'!D54</f>
        <v>352525</v>
      </c>
      <c r="E143" s="14"/>
      <c r="G143" s="14"/>
    </row>
    <row r="144" spans="1:7" ht="12.75">
      <c r="A144" s="5" t="s">
        <v>41</v>
      </c>
      <c r="B144" s="4" t="s">
        <v>418</v>
      </c>
      <c r="D144" s="18">
        <f>'RUF WORK FOR ALL'!D63</f>
        <v>818</v>
      </c>
      <c r="E144" s="14"/>
      <c r="G144" s="14"/>
    </row>
    <row r="145" spans="1:7" ht="12.75">
      <c r="A145" s="5" t="s">
        <v>217</v>
      </c>
      <c r="B145" s="4" t="s">
        <v>222</v>
      </c>
      <c r="D145" s="18">
        <f>'RUF WORK FOR ALL'!D55</f>
        <v>713105</v>
      </c>
      <c r="E145" s="14"/>
      <c r="G145" s="14"/>
    </row>
    <row r="146" spans="1:10" ht="12.75">
      <c r="A146" s="5" t="s">
        <v>39</v>
      </c>
      <c r="B146" s="4" t="s">
        <v>319</v>
      </c>
      <c r="D146" s="47">
        <f>'RUF WORK FOR ALL'!D58</f>
        <v>2000</v>
      </c>
      <c r="E146" s="14">
        <f>SUM(D135:D146)</f>
        <v>1975507</v>
      </c>
      <c r="G146" s="14">
        <f>E146</f>
        <v>1975507</v>
      </c>
      <c r="I146" s="14"/>
      <c r="J146" s="14"/>
    </row>
    <row r="147" spans="4:7" ht="12.75">
      <c r="D147" s="18"/>
      <c r="E147" s="14"/>
      <c r="G147" s="14"/>
    </row>
    <row r="148" spans="4:7" ht="12.75">
      <c r="D148" s="18"/>
      <c r="E148" s="14"/>
      <c r="G148" s="14"/>
    </row>
    <row r="149" spans="2:4" ht="12.75">
      <c r="B149" s="1" t="s">
        <v>672</v>
      </c>
      <c r="C149" s="5"/>
      <c r="D149" s="5"/>
    </row>
    <row r="150" spans="2:7" ht="12.75">
      <c r="B150" s="1" t="s">
        <v>454</v>
      </c>
      <c r="C150" s="2"/>
      <c r="D150" s="45"/>
      <c r="G150" s="14"/>
    </row>
    <row r="151" spans="1:7" ht="12.75">
      <c r="A151" s="5" t="s">
        <v>77</v>
      </c>
      <c r="B151" s="4" t="s">
        <v>455</v>
      </c>
      <c r="D151" s="9">
        <f>'RUF WORK FOR ALL'!D710</f>
        <v>94423</v>
      </c>
      <c r="G151" s="14"/>
    </row>
    <row r="152" spans="1:7" ht="12.75">
      <c r="A152" s="5" t="s">
        <v>275</v>
      </c>
      <c r="B152" s="4" t="s">
        <v>455</v>
      </c>
      <c r="D152" s="9">
        <f>'RUF WORK FOR ALL'!D711</f>
        <v>400</v>
      </c>
      <c r="G152" s="14"/>
    </row>
    <row r="153" spans="1:7" ht="12.75">
      <c r="A153" s="5" t="s">
        <v>39</v>
      </c>
      <c r="B153" s="4" t="s">
        <v>455</v>
      </c>
      <c r="D153" s="9">
        <f>'RUF WORK FOR ALL'!D712</f>
        <v>12660</v>
      </c>
      <c r="G153" s="14"/>
    </row>
    <row r="154" spans="1:7" ht="12.75">
      <c r="A154" s="5" t="s">
        <v>36</v>
      </c>
      <c r="B154" s="4" t="s">
        <v>455</v>
      </c>
      <c r="D154" s="9">
        <f>'RUF WORK FOR ALL'!D713</f>
        <v>2000</v>
      </c>
      <c r="G154" s="14"/>
    </row>
    <row r="155" spans="1:10" ht="12.75">
      <c r="A155" s="5" t="s">
        <v>41</v>
      </c>
      <c r="B155" s="4" t="s">
        <v>455</v>
      </c>
      <c r="D155" s="46">
        <f>'RUF WORK FOR ALL'!D714</f>
        <v>6800</v>
      </c>
      <c r="E155" s="14">
        <f>SUM(D151:D155)</f>
        <v>116283</v>
      </c>
      <c r="G155" s="14"/>
      <c r="I155" s="14"/>
      <c r="J155" s="14"/>
    </row>
    <row r="156" spans="2:10" ht="12.75">
      <c r="B156" s="1" t="s">
        <v>120</v>
      </c>
      <c r="D156" s="9"/>
      <c r="E156" s="14"/>
      <c r="G156" s="14"/>
      <c r="I156" s="14"/>
      <c r="J156" s="14"/>
    </row>
    <row r="157" spans="1:10" ht="12.75">
      <c r="A157" s="5" t="s">
        <v>39</v>
      </c>
      <c r="B157" s="4" t="s">
        <v>355</v>
      </c>
      <c r="C157" s="8"/>
      <c r="D157" s="9">
        <f>'RUF WORK FOR ALL'!D346</f>
        <v>368</v>
      </c>
      <c r="E157" s="14"/>
      <c r="G157" s="14"/>
      <c r="I157" s="14"/>
      <c r="J157" s="14"/>
    </row>
    <row r="158" spans="1:10" ht="12.75">
      <c r="A158" s="5" t="s">
        <v>39</v>
      </c>
      <c r="B158" s="4" t="s">
        <v>356</v>
      </c>
      <c r="C158" s="8"/>
      <c r="D158" s="9">
        <f>'RUF WORK FOR ALL'!D347</f>
        <v>30950</v>
      </c>
      <c r="E158" s="14"/>
      <c r="G158" s="14"/>
      <c r="I158" s="14"/>
      <c r="J158" s="14"/>
    </row>
    <row r="159" spans="1:10" ht="12.75">
      <c r="A159" s="5" t="s">
        <v>77</v>
      </c>
      <c r="B159" s="4" t="s">
        <v>65</v>
      </c>
      <c r="C159" s="8"/>
      <c r="D159" s="9">
        <f>'RUF WORK FOR ALL'!D333</f>
        <v>500</v>
      </c>
      <c r="E159" s="14"/>
      <c r="G159" s="14"/>
      <c r="I159" s="14"/>
      <c r="J159" s="14"/>
    </row>
    <row r="160" spans="1:10" ht="12.75">
      <c r="A160" s="5" t="s">
        <v>39</v>
      </c>
      <c r="B160" s="4" t="s">
        <v>357</v>
      </c>
      <c r="C160" s="8"/>
      <c r="D160" s="9">
        <f>'RUF WORK FOR ALL'!D348</f>
        <v>7050</v>
      </c>
      <c r="E160" s="14"/>
      <c r="G160" s="14"/>
      <c r="I160" s="14"/>
      <c r="J160" s="14"/>
    </row>
    <row r="161" spans="1:10" ht="12.75">
      <c r="A161" s="5" t="s">
        <v>39</v>
      </c>
      <c r="B161" s="4" t="s">
        <v>358</v>
      </c>
      <c r="C161" s="8"/>
      <c r="D161" s="9">
        <f>'RUF WORK FOR ALL'!D349</f>
        <v>3814</v>
      </c>
      <c r="E161" s="14"/>
      <c r="G161" s="14"/>
      <c r="I161" s="14"/>
      <c r="J161" s="14"/>
    </row>
    <row r="162" spans="1:10" ht="12.75">
      <c r="A162" s="5" t="s">
        <v>39</v>
      </c>
      <c r="B162" s="4" t="s">
        <v>359</v>
      </c>
      <c r="C162" s="8"/>
      <c r="D162" s="9">
        <f>'RUF WORK FOR ALL'!D350</f>
        <v>14230</v>
      </c>
      <c r="E162" s="14"/>
      <c r="G162" s="14"/>
      <c r="I162" s="14"/>
      <c r="J162" s="14"/>
    </row>
    <row r="163" spans="1:10" ht="12.75">
      <c r="A163" s="5" t="s">
        <v>39</v>
      </c>
      <c r="B163" s="4" t="s">
        <v>360</v>
      </c>
      <c r="C163" s="8"/>
      <c r="D163" s="9">
        <f>'RUF WORK FOR ALL'!D351</f>
        <v>6915</v>
      </c>
      <c r="E163" s="14"/>
      <c r="G163" s="14"/>
      <c r="I163" s="14"/>
      <c r="J163" s="14"/>
    </row>
    <row r="164" spans="1:10" ht="12.75">
      <c r="A164" s="5" t="s">
        <v>39</v>
      </c>
      <c r="B164" s="4" t="s">
        <v>361</v>
      </c>
      <c r="C164" s="8"/>
      <c r="D164" s="9">
        <f>'RUF WORK FOR ALL'!D352</f>
        <v>4810</v>
      </c>
      <c r="E164" s="14"/>
      <c r="G164" s="14"/>
      <c r="I164" s="14"/>
      <c r="J164" s="14"/>
    </row>
    <row r="165" spans="1:10" ht="12.75">
      <c r="A165" s="5" t="s">
        <v>39</v>
      </c>
      <c r="B165" s="4" t="s">
        <v>363</v>
      </c>
      <c r="C165" s="8"/>
      <c r="D165" s="9">
        <f>'RUF WORK FOR ALL'!D354</f>
        <v>30950</v>
      </c>
      <c r="E165" s="14"/>
      <c r="G165" s="14"/>
      <c r="I165" s="14"/>
      <c r="J165" s="14"/>
    </row>
    <row r="166" spans="1:10" ht="12.75">
      <c r="A166" s="5" t="s">
        <v>39</v>
      </c>
      <c r="B166" s="4" t="s">
        <v>362</v>
      </c>
      <c r="C166" s="8"/>
      <c r="D166" s="9">
        <f>'RUF WORK FOR ALL'!D353</f>
        <v>3575</v>
      </c>
      <c r="E166" s="14">
        <f>SUM(D157:D166)</f>
        <v>103162</v>
      </c>
      <c r="G166" s="14"/>
      <c r="I166" s="14"/>
      <c r="J166" s="14"/>
    </row>
    <row r="167" spans="1:10" ht="12.75">
      <c r="A167" s="5" t="s">
        <v>41</v>
      </c>
      <c r="B167" s="4" t="s">
        <v>872</v>
      </c>
      <c r="D167" s="9">
        <v>1200000</v>
      </c>
      <c r="E167" s="14">
        <f>D167</f>
        <v>1200000</v>
      </c>
      <c r="G167" s="14"/>
      <c r="I167" s="14"/>
      <c r="J167" s="14"/>
    </row>
    <row r="168" spans="2:7" ht="12.75">
      <c r="B168" s="1" t="s">
        <v>323</v>
      </c>
      <c r="C168" s="2"/>
      <c r="D168" s="3"/>
      <c r="G168" s="14"/>
    </row>
    <row r="169" spans="1:7" ht="12.75">
      <c r="A169" s="5" t="s">
        <v>39</v>
      </c>
      <c r="B169" s="4" t="s">
        <v>344</v>
      </c>
      <c r="C169" s="2"/>
      <c r="D169" s="9">
        <f>'RUF WORK FOR ALL'!D102</f>
        <v>1599</v>
      </c>
      <c r="G169" s="14"/>
    </row>
    <row r="170" spans="1:7" ht="12.75">
      <c r="A170" s="5" t="s">
        <v>39</v>
      </c>
      <c r="B170" s="4" t="s">
        <v>347</v>
      </c>
      <c r="C170" s="2"/>
      <c r="D170" s="9">
        <f>'RUF WORK FOR ALL'!D105</f>
        <v>3000</v>
      </c>
      <c r="G170" s="14"/>
    </row>
    <row r="171" spans="1:8" ht="12.75">
      <c r="A171" s="5" t="s">
        <v>39</v>
      </c>
      <c r="B171" s="4" t="s">
        <v>33</v>
      </c>
      <c r="C171" s="2"/>
      <c r="D171" s="46">
        <f>'RUF WORK FOR ALL'!D106</f>
        <v>5643</v>
      </c>
      <c r="E171" s="14">
        <f>SUM(D169:D171)</f>
        <v>10242</v>
      </c>
      <c r="G171" s="48"/>
      <c r="H171" s="2"/>
    </row>
    <row r="172" spans="2:7" ht="12.75">
      <c r="B172" s="1" t="s">
        <v>325</v>
      </c>
      <c r="C172" s="2"/>
      <c r="D172" s="3"/>
      <c r="G172" s="14"/>
    </row>
    <row r="173" spans="1:7" ht="12.75">
      <c r="A173" s="5" t="s">
        <v>77</v>
      </c>
      <c r="B173" s="4" t="s">
        <v>873</v>
      </c>
      <c r="D173" s="46">
        <f>'RUF WORK FOR ALL'!D122</f>
        <v>5000</v>
      </c>
      <c r="E173" s="14">
        <f>D173</f>
        <v>5000</v>
      </c>
      <c r="G173" s="14"/>
    </row>
    <row r="174" spans="2:7" ht="12.75">
      <c r="B174" s="1" t="s">
        <v>326</v>
      </c>
      <c r="C174" s="2"/>
      <c r="D174" s="3"/>
      <c r="G174" s="14"/>
    </row>
    <row r="175" spans="1:7" ht="12.75">
      <c r="A175" s="5" t="s">
        <v>77</v>
      </c>
      <c r="B175" s="4" t="s">
        <v>27</v>
      </c>
      <c r="D175" s="9">
        <f>'RUF WORK FOR ALL'!D127</f>
        <v>4000</v>
      </c>
      <c r="G175" s="14"/>
    </row>
    <row r="176" spans="1:7" ht="12.75">
      <c r="A176" s="5" t="s">
        <v>77</v>
      </c>
      <c r="B176" s="4" t="s">
        <v>28</v>
      </c>
      <c r="D176" s="9">
        <f>'RUF WORK FOR ALL'!D128</f>
        <v>24992</v>
      </c>
      <c r="G176" s="14"/>
    </row>
    <row r="177" spans="1:7" ht="12.75">
      <c r="A177" s="5" t="s">
        <v>77</v>
      </c>
      <c r="B177" s="4" t="s">
        <v>29</v>
      </c>
      <c r="D177" s="9">
        <f>'RUF WORK FOR ALL'!D129</f>
        <v>2175</v>
      </c>
      <c r="G177" s="14"/>
    </row>
    <row r="178" spans="1:7" ht="12.75">
      <c r="A178" s="5" t="s">
        <v>77</v>
      </c>
      <c r="B178" s="4" t="s">
        <v>30</v>
      </c>
      <c r="D178" s="9">
        <f>'RUF WORK FOR ALL'!D130</f>
        <v>3510</v>
      </c>
      <c r="G178" s="14"/>
    </row>
    <row r="179" spans="1:7" ht="12.75">
      <c r="A179" s="5" t="s">
        <v>77</v>
      </c>
      <c r="B179" s="4" t="s">
        <v>31</v>
      </c>
      <c r="D179" s="9">
        <f>'RUF WORK FOR ALL'!D131</f>
        <v>7148</v>
      </c>
      <c r="G179" s="14"/>
    </row>
    <row r="180" spans="1:7" ht="12.75">
      <c r="A180" s="5" t="s">
        <v>77</v>
      </c>
      <c r="B180" s="4" t="s">
        <v>32</v>
      </c>
      <c r="D180" s="9">
        <f>'RUF WORK FOR ALL'!D132</f>
        <v>2240</v>
      </c>
      <c r="G180" s="14"/>
    </row>
    <row r="181" spans="1:7" ht="12.75">
      <c r="A181" s="5" t="s">
        <v>77</v>
      </c>
      <c r="B181" s="4" t="s">
        <v>33</v>
      </c>
      <c r="D181" s="9">
        <f>'RUF WORK FOR ALL'!D133</f>
        <v>0</v>
      </c>
      <c r="G181" s="14"/>
    </row>
    <row r="182" spans="1:7" ht="12.75">
      <c r="A182" s="5" t="s">
        <v>77</v>
      </c>
      <c r="B182" s="4" t="s">
        <v>34</v>
      </c>
      <c r="D182" s="9">
        <f>'RUF WORK FOR ALL'!D134</f>
        <v>2390</v>
      </c>
      <c r="G182" s="14"/>
    </row>
    <row r="183" spans="1:9" ht="12.75">
      <c r="A183" s="5" t="s">
        <v>77</v>
      </c>
      <c r="B183" s="4" t="s">
        <v>35</v>
      </c>
      <c r="D183" s="46">
        <f>'RUF WORK FOR ALL'!D135</f>
        <v>7900</v>
      </c>
      <c r="E183" s="14">
        <f>SUM(D175:D183)</f>
        <v>54355</v>
      </c>
      <c r="G183" s="14">
        <f>SUM(E155:E183)</f>
        <v>1489042</v>
      </c>
      <c r="I183" s="14"/>
    </row>
    <row r="184" spans="4:7" ht="12.75">
      <c r="D184" s="9"/>
      <c r="G184" s="14"/>
    </row>
    <row r="185" spans="4:7" ht="12.75">
      <c r="D185" s="9"/>
      <c r="E185" s="4"/>
      <c r="F185" s="4"/>
      <c r="G185" s="14"/>
    </row>
    <row r="186" spans="2:7" ht="12.75">
      <c r="B186" s="1" t="s">
        <v>720</v>
      </c>
      <c r="D186" s="9"/>
      <c r="E186" s="4"/>
      <c r="F186" s="4"/>
      <c r="G186" s="14"/>
    </row>
    <row r="187" spans="2:7" ht="12.75">
      <c r="B187" s="1" t="s">
        <v>322</v>
      </c>
      <c r="C187" s="2"/>
      <c r="D187" s="18"/>
      <c r="G187" s="14"/>
    </row>
    <row r="188" spans="1:7" ht="12.75">
      <c r="A188" s="5" t="s">
        <v>77</v>
      </c>
      <c r="B188" s="4" t="s">
        <v>13</v>
      </c>
      <c r="D188" s="18">
        <f>'RUF WORK FOR ALL'!D71</f>
        <v>79482</v>
      </c>
      <c r="G188" s="14"/>
    </row>
    <row r="189" spans="1:7" ht="12.75">
      <c r="A189" s="5" t="s">
        <v>39</v>
      </c>
      <c r="B189" s="4" t="s">
        <v>13</v>
      </c>
      <c r="D189" s="18">
        <f>'RUF WORK FOR ALL'!D81</f>
        <v>2420</v>
      </c>
      <c r="E189" s="14"/>
      <c r="G189" s="14"/>
    </row>
    <row r="190" spans="1:7" ht="12.75">
      <c r="A190" s="5" t="s">
        <v>41</v>
      </c>
      <c r="B190" s="4" t="s">
        <v>13</v>
      </c>
      <c r="D190" s="47">
        <f>'RUF WORK FOR ALL'!D89</f>
        <v>79793</v>
      </c>
      <c r="E190" s="14">
        <f>SUM(D188:D190)</f>
        <v>161695</v>
      </c>
      <c r="G190" s="14"/>
    </row>
    <row r="191" spans="1:7" ht="12.75">
      <c r="A191" s="5" t="s">
        <v>41</v>
      </c>
      <c r="B191" s="4" t="s">
        <v>414</v>
      </c>
      <c r="D191" s="47">
        <f>'RUF WORK FOR ALL'!D90</f>
        <v>1550</v>
      </c>
      <c r="E191" s="14">
        <f>D191</f>
        <v>1550</v>
      </c>
      <c r="G191" s="14"/>
    </row>
    <row r="192" spans="1:7" ht="12.75">
      <c r="A192" s="5" t="s">
        <v>77</v>
      </c>
      <c r="B192" s="4" t="s">
        <v>14</v>
      </c>
      <c r="D192" s="18">
        <f>'RUF WORK FOR ALL'!D72</f>
        <v>18051</v>
      </c>
      <c r="G192" s="14"/>
    </row>
    <row r="193" spans="1:7" ht="12.75">
      <c r="A193" s="5" t="s">
        <v>39</v>
      </c>
      <c r="B193" s="4" t="s">
        <v>14</v>
      </c>
      <c r="D193" s="18">
        <f>'RUF WORK FOR ALL'!D82</f>
        <v>52933</v>
      </c>
      <c r="G193" s="14"/>
    </row>
    <row r="194" spans="1:7" ht="12.75">
      <c r="A194" s="5" t="s">
        <v>41</v>
      </c>
      <c r="B194" s="4" t="s">
        <v>14</v>
      </c>
      <c r="D194" s="47">
        <f>'RUF WORK FOR ALL'!D91</f>
        <v>13669</v>
      </c>
      <c r="E194" s="14">
        <f>SUM(D192:D194)</f>
        <v>84653</v>
      </c>
      <c r="G194" s="14"/>
    </row>
    <row r="195" spans="1:7" ht="12.75">
      <c r="A195" s="5" t="s">
        <v>77</v>
      </c>
      <c r="B195" s="4" t="s">
        <v>92</v>
      </c>
      <c r="D195" s="47">
        <f>'RUF WORK FOR ALL'!D73</f>
        <v>23574</v>
      </c>
      <c r="E195" s="14">
        <f>D195</f>
        <v>23574</v>
      </c>
      <c r="G195" s="14"/>
    </row>
    <row r="196" spans="1:7" ht="12.75">
      <c r="A196" s="5" t="s">
        <v>38</v>
      </c>
      <c r="B196" s="4" t="s">
        <v>91</v>
      </c>
      <c r="D196" s="47">
        <f>'RUF WORK FOR ALL'!D69</f>
        <v>2587</v>
      </c>
      <c r="E196" s="14">
        <f>D196</f>
        <v>2587</v>
      </c>
      <c r="G196" s="14"/>
    </row>
    <row r="197" spans="1:7" ht="12.75">
      <c r="A197" s="5" t="s">
        <v>77</v>
      </c>
      <c r="B197" s="4" t="s">
        <v>15</v>
      </c>
      <c r="D197" s="18">
        <f>'RUF WORK FOR ALL'!D74</f>
        <v>13543</v>
      </c>
      <c r="G197" s="14"/>
    </row>
    <row r="198" spans="1:7" ht="12.75">
      <c r="A198" s="5" t="s">
        <v>39</v>
      </c>
      <c r="B198" s="4" t="s">
        <v>15</v>
      </c>
      <c r="D198" s="47">
        <f>'RUF WORK FOR ALL'!D83</f>
        <v>13791</v>
      </c>
      <c r="E198" s="14">
        <f>SUM(D197:D198)</f>
        <v>27334</v>
      </c>
      <c r="G198" s="14"/>
    </row>
    <row r="199" spans="1:7" ht="12.75">
      <c r="A199" s="5" t="s">
        <v>77</v>
      </c>
      <c r="B199" s="4" t="s">
        <v>16</v>
      </c>
      <c r="D199" s="18">
        <f>'RUF WORK FOR ALL'!D75</f>
        <v>294806</v>
      </c>
      <c r="E199" s="14"/>
      <c r="G199" s="14"/>
    </row>
    <row r="200" spans="1:7" ht="12.75">
      <c r="A200" s="5" t="s">
        <v>39</v>
      </c>
      <c r="B200" s="4" t="s">
        <v>16</v>
      </c>
      <c r="D200" s="47">
        <f>'RUF WORK FOR ALL'!D84</f>
        <v>205564</v>
      </c>
      <c r="E200" s="14">
        <f>SUM(D199:D200)</f>
        <v>500370</v>
      </c>
      <c r="G200" s="14"/>
    </row>
    <row r="201" spans="1:7" ht="12.75">
      <c r="A201" s="5" t="s">
        <v>77</v>
      </c>
      <c r="B201" s="4" t="s">
        <v>17</v>
      </c>
      <c r="D201" s="18">
        <f>'RUF WORK FOR ALL'!D76</f>
        <v>1337756</v>
      </c>
      <c r="E201" s="14"/>
      <c r="G201" s="14"/>
    </row>
    <row r="202" spans="1:7" ht="12.75">
      <c r="A202" s="5" t="s">
        <v>39</v>
      </c>
      <c r="B202" s="4" t="s">
        <v>17</v>
      </c>
      <c r="D202" s="18">
        <f>'RUF WORK FOR ALL'!D85</f>
        <v>965453</v>
      </c>
      <c r="E202" s="14"/>
      <c r="G202" s="14"/>
    </row>
    <row r="203" spans="1:7" ht="12.75">
      <c r="A203" s="5" t="s">
        <v>41</v>
      </c>
      <c r="B203" s="4" t="s">
        <v>17</v>
      </c>
      <c r="D203" s="47">
        <f>'RUF WORK FOR ALL'!D92</f>
        <v>284709</v>
      </c>
      <c r="E203" s="14">
        <f>SUM(D201:D203)</f>
        <v>2587918</v>
      </c>
      <c r="G203" s="14"/>
    </row>
    <row r="204" spans="1:7" ht="12.75">
      <c r="A204" s="5" t="s">
        <v>77</v>
      </c>
      <c r="B204" s="4" t="s">
        <v>18</v>
      </c>
      <c r="D204" s="47">
        <f>'RUF WORK FOR ALL'!D77</f>
        <v>149242</v>
      </c>
      <c r="E204" s="14">
        <f>D204</f>
        <v>149242</v>
      </c>
      <c r="G204" s="14"/>
    </row>
    <row r="205" spans="1:7" ht="12.75">
      <c r="A205" s="5" t="s">
        <v>77</v>
      </c>
      <c r="B205" s="4" t="s">
        <v>19</v>
      </c>
      <c r="D205" s="18">
        <f>'RUF WORK FOR ALL'!D78</f>
        <v>137488</v>
      </c>
      <c r="E205" s="14"/>
      <c r="G205" s="14"/>
    </row>
    <row r="206" spans="1:7" ht="12.75">
      <c r="A206" s="5" t="s">
        <v>39</v>
      </c>
      <c r="B206" s="4" t="s">
        <v>19</v>
      </c>
      <c r="D206" s="47">
        <f>'RUF WORK FOR ALL'!D86</f>
        <v>1093</v>
      </c>
      <c r="E206" s="14">
        <f>SUM(D205:D206)</f>
        <v>138581</v>
      </c>
      <c r="G206" s="14"/>
    </row>
    <row r="207" spans="1:7" ht="12.75">
      <c r="A207" s="5" t="s">
        <v>38</v>
      </c>
      <c r="B207" s="4" t="s">
        <v>20</v>
      </c>
      <c r="D207" s="18">
        <f>'RUF WORK FOR ALL'!D70</f>
        <v>3478</v>
      </c>
      <c r="E207" s="14"/>
      <c r="G207" s="14"/>
    </row>
    <row r="208" spans="1:7" ht="12.75">
      <c r="A208" s="5" t="s">
        <v>77</v>
      </c>
      <c r="B208" s="4" t="s">
        <v>20</v>
      </c>
      <c r="D208" s="18">
        <f>'RUF WORK FOR ALL'!D79</f>
        <v>19814</v>
      </c>
      <c r="E208" s="14"/>
      <c r="G208" s="14"/>
    </row>
    <row r="209" spans="1:7" ht="12.75">
      <c r="A209" s="5" t="s">
        <v>39</v>
      </c>
      <c r="B209" s="4" t="s">
        <v>20</v>
      </c>
      <c r="D209" s="18">
        <f>'RUF WORK FOR ALL'!D87</f>
        <v>8027</v>
      </c>
      <c r="E209" s="14"/>
      <c r="G209" s="14"/>
    </row>
    <row r="210" spans="1:7" ht="12.75">
      <c r="A210" s="5" t="s">
        <v>36</v>
      </c>
      <c r="B210" s="4" t="s">
        <v>20</v>
      </c>
      <c r="D210" s="18">
        <f>'RUF WORK FOR ALL'!D88</f>
        <v>386</v>
      </c>
      <c r="E210" s="14"/>
      <c r="G210" s="14"/>
    </row>
    <row r="211" spans="1:7" ht="12.75">
      <c r="A211" s="5" t="s">
        <v>41</v>
      </c>
      <c r="B211" s="4" t="s">
        <v>20</v>
      </c>
      <c r="D211" s="47">
        <f>'RUF WORK FOR ALL'!D93</f>
        <v>10633</v>
      </c>
      <c r="E211" s="14">
        <f>SUM(D207:D211)</f>
        <v>42338</v>
      </c>
      <c r="G211" s="14"/>
    </row>
    <row r="212" spans="1:10" ht="12.75">
      <c r="A212" s="5" t="s">
        <v>77</v>
      </c>
      <c r="B212" s="4" t="s">
        <v>21</v>
      </c>
      <c r="D212" s="47">
        <f>'RUF WORK FOR ALL'!D80</f>
        <v>49876</v>
      </c>
      <c r="E212" s="14">
        <f>D212</f>
        <v>49876</v>
      </c>
      <c r="G212" s="14"/>
      <c r="I212" s="14"/>
      <c r="J212" s="14"/>
    </row>
    <row r="213" spans="2:7" ht="12.75">
      <c r="B213" s="1" t="s">
        <v>721</v>
      </c>
      <c r="C213" s="2"/>
      <c r="D213" s="3"/>
      <c r="G213" s="14"/>
    </row>
    <row r="214" spans="1:7" ht="12.75">
      <c r="A214" s="5" t="s">
        <v>36</v>
      </c>
      <c r="B214" s="4" t="s">
        <v>399</v>
      </c>
      <c r="D214" s="46">
        <f>'RUF WORK FOR ALL'!D301</f>
        <v>1667</v>
      </c>
      <c r="E214" s="14">
        <f>D214</f>
        <v>1667</v>
      </c>
      <c r="G214" s="14"/>
    </row>
    <row r="215" spans="1:7" ht="12.75">
      <c r="A215" s="5" t="s">
        <v>38</v>
      </c>
      <c r="B215" s="4" t="s">
        <v>89</v>
      </c>
      <c r="D215" s="9">
        <f>'RUF WORK FOR ALL'!D294</f>
        <v>8265</v>
      </c>
      <c r="E215" s="14"/>
      <c r="G215" s="14"/>
    </row>
    <row r="216" spans="1:7" ht="12.75">
      <c r="A216" s="5" t="s">
        <v>36</v>
      </c>
      <c r="B216" s="4" t="s">
        <v>89</v>
      </c>
      <c r="D216" s="9">
        <f>'RUF WORK FOR ALL'!D302</f>
        <v>2755</v>
      </c>
      <c r="G216" s="14"/>
    </row>
    <row r="217" spans="1:7" ht="12.75">
      <c r="A217" s="5" t="s">
        <v>77</v>
      </c>
      <c r="B217" s="4" t="s">
        <v>89</v>
      </c>
      <c r="D217" s="9">
        <f>'RUF WORK FOR ALL'!D296</f>
        <v>5510</v>
      </c>
      <c r="E217" s="14"/>
      <c r="G217" s="14"/>
    </row>
    <row r="218" spans="1:7" ht="12.75">
      <c r="A218" s="5" t="s">
        <v>217</v>
      </c>
      <c r="B218" s="4" t="s">
        <v>89</v>
      </c>
      <c r="D218" s="9">
        <f>'RUF WORK FOR ALL'!D297</f>
        <v>2755</v>
      </c>
      <c r="E218" s="14"/>
      <c r="G218" s="14"/>
    </row>
    <row r="219" spans="1:7" ht="12.75">
      <c r="A219" s="5" t="s">
        <v>248</v>
      </c>
      <c r="B219" s="4" t="s">
        <v>89</v>
      </c>
      <c r="D219" s="9">
        <f>'RUF WORK FOR ALL'!D298</f>
        <v>2755</v>
      </c>
      <c r="E219" s="14"/>
      <c r="G219" s="14"/>
    </row>
    <row r="220" spans="1:7" ht="12.75">
      <c r="A220" s="5" t="s">
        <v>275</v>
      </c>
      <c r="B220" s="4" t="s">
        <v>89</v>
      </c>
      <c r="D220" s="9">
        <f>'RUF WORK FOR ALL'!D299</f>
        <v>2755</v>
      </c>
      <c r="E220" s="14"/>
      <c r="G220" s="14"/>
    </row>
    <row r="221" spans="1:7" ht="12.75">
      <c r="A221" s="5" t="s">
        <v>39</v>
      </c>
      <c r="B221" s="4" t="s">
        <v>89</v>
      </c>
      <c r="D221" s="9">
        <f>'RUF WORK FOR ALL'!D300</f>
        <v>5510</v>
      </c>
      <c r="E221" s="14"/>
      <c r="G221" s="14"/>
    </row>
    <row r="222" spans="1:7" ht="12.75">
      <c r="A222" s="5" t="s">
        <v>41</v>
      </c>
      <c r="B222" s="4" t="s">
        <v>89</v>
      </c>
      <c r="D222" s="46">
        <f>'RUF WORK FOR ALL'!D303</f>
        <v>5510</v>
      </c>
      <c r="E222" s="14">
        <f>SUM(D215:D222)</f>
        <v>35815</v>
      </c>
      <c r="G222" s="14"/>
    </row>
    <row r="223" spans="1:10" ht="12.75">
      <c r="A223" s="5" t="s">
        <v>38</v>
      </c>
      <c r="B223" s="4" t="s">
        <v>90</v>
      </c>
      <c r="D223" s="46">
        <f>'RUF WORK FOR ALL'!D295</f>
        <v>45935</v>
      </c>
      <c r="E223" s="14">
        <f>D223</f>
        <v>45935</v>
      </c>
      <c r="G223" s="14">
        <f>SUM(E190:E223)</f>
        <v>3853135</v>
      </c>
      <c r="I223" s="14"/>
      <c r="J223" s="14"/>
    </row>
    <row r="224" spans="4:10" ht="12.75">
      <c r="D224" s="9"/>
      <c r="E224" s="14"/>
      <c r="G224" s="14"/>
      <c r="I224" s="14"/>
      <c r="J224" s="14"/>
    </row>
    <row r="225" spans="4:10" ht="12.75">
      <c r="D225" s="9"/>
      <c r="E225" s="14"/>
      <c r="G225" s="14"/>
      <c r="I225" s="14"/>
      <c r="J225" s="14"/>
    </row>
    <row r="226" spans="2:7" ht="12.75">
      <c r="B226" s="1" t="s">
        <v>456</v>
      </c>
      <c r="C226" s="2"/>
      <c r="D226" s="45"/>
      <c r="G226" s="14"/>
    </row>
    <row r="227" spans="1:10" ht="12.75">
      <c r="A227" s="5" t="s">
        <v>77</v>
      </c>
      <c r="B227" s="4" t="s">
        <v>457</v>
      </c>
      <c r="D227" s="46">
        <f>'RUF WORK FOR ALL'!D719</f>
        <v>9600</v>
      </c>
      <c r="E227" s="14">
        <f>D227</f>
        <v>9600</v>
      </c>
      <c r="G227" s="14">
        <f>E227</f>
        <v>9600</v>
      </c>
      <c r="I227" s="14"/>
      <c r="J227" s="14"/>
    </row>
    <row r="228" spans="4:10" ht="12.75">
      <c r="D228" s="9"/>
      <c r="E228" s="14"/>
      <c r="G228" s="14"/>
      <c r="I228" s="14"/>
      <c r="J228" s="14"/>
    </row>
    <row r="229" spans="4:10" ht="12.75">
      <c r="D229" s="9"/>
      <c r="E229" s="14"/>
      <c r="G229" s="14"/>
      <c r="I229" s="14"/>
      <c r="J229" s="14"/>
    </row>
    <row r="230" spans="2:10" ht="12.75">
      <c r="B230" s="1" t="s">
        <v>874</v>
      </c>
      <c r="D230" s="9"/>
      <c r="E230" s="14"/>
      <c r="G230" s="14"/>
      <c r="I230" s="14"/>
      <c r="J230" s="14"/>
    </row>
    <row r="231" spans="1:7" ht="12.75">
      <c r="A231" s="5" t="s">
        <v>77</v>
      </c>
      <c r="B231" s="4" t="s">
        <v>49</v>
      </c>
      <c r="D231" s="9">
        <f>'RUF WORK FOR ALL'!D235</f>
        <v>304404</v>
      </c>
      <c r="E231" s="14"/>
      <c r="G231" s="14"/>
    </row>
    <row r="232" spans="1:7" ht="12.75">
      <c r="A232" s="5" t="s">
        <v>39</v>
      </c>
      <c r="B232" s="4" t="s">
        <v>49</v>
      </c>
      <c r="D232" s="9">
        <f>'RUF WORK FOR ALL'!D250</f>
        <v>1055010</v>
      </c>
      <c r="E232" s="14"/>
      <c r="G232" s="14"/>
    </row>
    <row r="233" spans="1:11" ht="12.75">
      <c r="A233" s="5" t="s">
        <v>41</v>
      </c>
      <c r="B233" s="4" t="s">
        <v>49</v>
      </c>
      <c r="D233" s="46">
        <f>'RUF WORK FOR ALL'!D257</f>
        <v>4284860</v>
      </c>
      <c r="E233" s="14">
        <f>SUM(D231:D233)</f>
        <v>5644274</v>
      </c>
      <c r="G233" s="14">
        <f>E233</f>
        <v>5644274</v>
      </c>
      <c r="I233" s="14"/>
      <c r="J233" s="14"/>
      <c r="K233" s="14"/>
    </row>
    <row r="234" spans="4:10" ht="12.75">
      <c r="D234" s="9"/>
      <c r="E234" s="14"/>
      <c r="G234" s="14"/>
      <c r="I234" s="14"/>
      <c r="J234" s="14"/>
    </row>
    <row r="235" spans="4:10" ht="12.75">
      <c r="D235" s="9"/>
      <c r="E235" s="14"/>
      <c r="G235" s="14"/>
      <c r="I235" s="14"/>
      <c r="J235" s="14"/>
    </row>
    <row r="236" spans="2:10" ht="12.75">
      <c r="B236" s="1" t="s">
        <v>875</v>
      </c>
      <c r="D236" s="9"/>
      <c r="E236" s="14"/>
      <c r="G236" s="14"/>
      <c r="I236" s="14"/>
      <c r="J236" s="14"/>
    </row>
    <row r="237" spans="1:10" ht="12.75">
      <c r="A237" s="5" t="s">
        <v>77</v>
      </c>
      <c r="B237" s="4" t="s">
        <v>47</v>
      </c>
      <c r="D237" s="9">
        <f>'RUF WORK FOR ALL'!D220</f>
        <v>67932</v>
      </c>
      <c r="G237" s="14"/>
      <c r="I237" s="14"/>
      <c r="J237" s="14"/>
    </row>
    <row r="238" spans="1:10" ht="12.75">
      <c r="A238" s="5" t="s">
        <v>39</v>
      </c>
      <c r="B238" s="4" t="s">
        <v>47</v>
      </c>
      <c r="D238" s="9">
        <f>'RUF WORK FOR ALL'!D223</f>
        <v>202769</v>
      </c>
      <c r="G238" s="14"/>
      <c r="I238" s="14"/>
      <c r="J238" s="14"/>
    </row>
    <row r="239" spans="1:10" ht="12.75">
      <c r="A239" s="5" t="s">
        <v>41</v>
      </c>
      <c r="B239" s="4" t="s">
        <v>47</v>
      </c>
      <c r="D239" s="46">
        <f>'RUF WORK FOR ALL'!D225</f>
        <v>3732279</v>
      </c>
      <c r="E239" s="14">
        <f>SUM(D237:D239)</f>
        <v>4002980</v>
      </c>
      <c r="G239" s="14">
        <f>E239</f>
        <v>4002980</v>
      </c>
      <c r="I239" s="14"/>
      <c r="J239" s="14"/>
    </row>
    <row r="240" spans="4:10" ht="12.75">
      <c r="D240" s="9"/>
      <c r="E240" s="14"/>
      <c r="G240" s="14"/>
      <c r="I240" s="14"/>
      <c r="J240" s="14"/>
    </row>
    <row r="241" spans="4:10" ht="12.75">
      <c r="D241" s="9"/>
      <c r="E241" s="14"/>
      <c r="G241" s="14"/>
      <c r="I241" s="14"/>
      <c r="J241" s="14"/>
    </row>
    <row r="242" spans="2:7" ht="12.75">
      <c r="B242" s="1" t="s">
        <v>328</v>
      </c>
      <c r="C242" s="2"/>
      <c r="D242" s="3"/>
      <c r="G242" s="14"/>
    </row>
    <row r="243" spans="1:7" ht="12.75">
      <c r="A243" s="5" t="s">
        <v>36</v>
      </c>
      <c r="B243" s="16" t="s">
        <v>407</v>
      </c>
      <c r="C243" s="3"/>
      <c r="D243" s="46">
        <f>'RUF WORK FOR ALL'!D209</f>
        <v>5000</v>
      </c>
      <c r="E243" s="14">
        <f>D243</f>
        <v>5000</v>
      </c>
      <c r="G243" s="14"/>
    </row>
    <row r="244" spans="1:7" ht="12.75">
      <c r="A244" s="5" t="s">
        <v>77</v>
      </c>
      <c r="B244" s="4" t="s">
        <v>42</v>
      </c>
      <c r="C244" s="2"/>
      <c r="D244" s="9">
        <f>'RUF WORK FOR ALL'!D203</f>
        <v>177370</v>
      </c>
      <c r="E244" s="14"/>
      <c r="G244" s="14"/>
    </row>
    <row r="245" spans="1:7" ht="12.75">
      <c r="A245" s="5" t="s">
        <v>41</v>
      </c>
      <c r="B245" s="16" t="s">
        <v>427</v>
      </c>
      <c r="C245" s="3"/>
      <c r="D245" s="46">
        <f>'RUF WORK FOR ALL'!D212</f>
        <v>59955</v>
      </c>
      <c r="E245" s="14">
        <f>SUM(D244:D245)</f>
        <v>237325</v>
      </c>
      <c r="G245" s="14"/>
    </row>
    <row r="246" spans="1:7" ht="12.75">
      <c r="A246" s="5" t="s">
        <v>77</v>
      </c>
      <c r="B246" s="4" t="s">
        <v>43</v>
      </c>
      <c r="C246" s="2"/>
      <c r="D246" s="46">
        <f>'RUF WORK FOR ALL'!D204</f>
        <v>2700</v>
      </c>
      <c r="E246" s="14">
        <f>D246</f>
        <v>2700</v>
      </c>
      <c r="G246" s="14"/>
    </row>
    <row r="247" spans="1:7" ht="12.75">
      <c r="A247" s="5" t="s">
        <v>36</v>
      </c>
      <c r="B247" s="16" t="s">
        <v>408</v>
      </c>
      <c r="C247" s="3"/>
      <c r="D247" s="46">
        <f>'RUF WORK FOR ALL'!D210</f>
        <v>10000</v>
      </c>
      <c r="E247" s="14">
        <f>D247</f>
        <v>10000</v>
      </c>
      <c r="G247" s="14"/>
    </row>
    <row r="248" spans="1:7" ht="12.75">
      <c r="A248" s="5" t="s">
        <v>38</v>
      </c>
      <c r="B248" s="4" t="s">
        <v>94</v>
      </c>
      <c r="C248" s="2"/>
      <c r="D248" s="46">
        <f>'RUF WORK FOR ALL'!D201</f>
        <v>35465</v>
      </c>
      <c r="E248" s="14">
        <f>D248</f>
        <v>35465</v>
      </c>
      <c r="G248" s="14"/>
    </row>
    <row r="249" spans="1:7" ht="12.75">
      <c r="A249" s="5" t="s">
        <v>36</v>
      </c>
      <c r="B249" s="16" t="s">
        <v>465</v>
      </c>
      <c r="C249" s="3"/>
      <c r="D249" s="9">
        <f>'RUF WORK FOR ALL'!D211</f>
        <v>6500</v>
      </c>
      <c r="G249" s="14"/>
    </row>
    <row r="250" spans="1:7" ht="12.75">
      <c r="A250" s="5" t="s">
        <v>39</v>
      </c>
      <c r="B250" s="4" t="s">
        <v>350</v>
      </c>
      <c r="C250" s="2"/>
      <c r="D250" s="46">
        <f>'RUF WORK FOR ALL'!D207</f>
        <v>27000</v>
      </c>
      <c r="E250" s="48">
        <f>SUM(D249:D250)</f>
        <v>33500</v>
      </c>
      <c r="F250" s="4"/>
      <c r="G250" s="14"/>
    </row>
    <row r="251" spans="1:7" ht="12.75">
      <c r="A251" s="5" t="s">
        <v>39</v>
      </c>
      <c r="B251" s="16" t="s">
        <v>466</v>
      </c>
      <c r="C251" s="3"/>
      <c r="D251" s="9">
        <f>'RUF WORK FOR ALL'!D208</f>
        <v>12000</v>
      </c>
      <c r="E251" s="4"/>
      <c r="F251" s="4"/>
      <c r="G251" s="14"/>
    </row>
    <row r="252" spans="1:7" ht="12.75">
      <c r="A252" s="5" t="s">
        <v>38</v>
      </c>
      <c r="B252" s="4" t="s">
        <v>95</v>
      </c>
      <c r="C252" s="2"/>
      <c r="D252" s="9">
        <f>'RUF WORK FOR ALL'!D202</f>
        <v>2000</v>
      </c>
      <c r="E252" s="4"/>
      <c r="F252" s="4"/>
      <c r="G252" s="14"/>
    </row>
    <row r="253" spans="1:7" ht="12.75">
      <c r="A253" s="5" t="s">
        <v>41</v>
      </c>
      <c r="B253" s="16" t="s">
        <v>95</v>
      </c>
      <c r="C253" s="3"/>
      <c r="D253" s="9">
        <f>'RUF WORK FOR ALL'!D213</f>
        <v>23000</v>
      </c>
      <c r="E253" s="48"/>
      <c r="F253" s="4"/>
      <c r="G253" s="14"/>
    </row>
    <row r="254" spans="1:7" ht="12.75">
      <c r="A254" s="5" t="s">
        <v>77</v>
      </c>
      <c r="B254" s="4" t="s">
        <v>44</v>
      </c>
      <c r="C254" s="2"/>
      <c r="D254" s="46">
        <f>'RUF WORK FOR ALL'!D205</f>
        <v>112150</v>
      </c>
      <c r="E254" s="48">
        <f>SUM(D251:D254)</f>
        <v>149150</v>
      </c>
      <c r="F254" s="4"/>
      <c r="G254" s="14"/>
    </row>
    <row r="255" spans="1:10" ht="12.75">
      <c r="A255" s="5" t="s">
        <v>77</v>
      </c>
      <c r="B255" s="4" t="s">
        <v>45</v>
      </c>
      <c r="C255" s="2"/>
      <c r="D255" s="46">
        <f>'RUF WORK FOR ALL'!D206</f>
        <v>1425</v>
      </c>
      <c r="E255" s="48">
        <f>D255</f>
        <v>1425</v>
      </c>
      <c r="F255" s="4"/>
      <c r="G255" s="14">
        <f>SUM(E243:E255)</f>
        <v>474565</v>
      </c>
      <c r="I255" s="14"/>
      <c r="J255" s="14"/>
    </row>
    <row r="256" spans="4:7" ht="12.75">
      <c r="D256" s="18"/>
      <c r="E256" s="14"/>
      <c r="G256" s="14"/>
    </row>
    <row r="257" spans="4:7" ht="12.75">
      <c r="D257" s="18"/>
      <c r="E257" s="14"/>
      <c r="G257" s="14"/>
    </row>
    <row r="258" spans="2:7" ht="12.75">
      <c r="B258" s="1" t="s">
        <v>354</v>
      </c>
      <c r="C258" s="2"/>
      <c r="D258" s="3"/>
      <c r="E258" s="9"/>
      <c r="G258" s="14"/>
    </row>
    <row r="259" spans="1:7" ht="12.75">
      <c r="A259" s="5" t="s">
        <v>41</v>
      </c>
      <c r="B259" s="16" t="s">
        <v>419</v>
      </c>
      <c r="C259" s="8"/>
      <c r="D259" s="46">
        <f>'RUF WORK FOR ALL'!D369</f>
        <v>400000</v>
      </c>
      <c r="E259" s="9">
        <f>D259</f>
        <v>400000</v>
      </c>
      <c r="F259" s="13"/>
      <c r="G259" s="14"/>
    </row>
    <row r="260" spans="1:7" ht="12.75">
      <c r="A260" s="5" t="s">
        <v>41</v>
      </c>
      <c r="B260" s="16" t="s">
        <v>420</v>
      </c>
      <c r="C260" s="8"/>
      <c r="D260" s="46">
        <f>'RUF WORK FOR ALL'!D370</f>
        <v>42500</v>
      </c>
      <c r="E260" s="9">
        <f aca="true" t="shared" si="0" ref="E260:E291">D260</f>
        <v>42500</v>
      </c>
      <c r="F260" s="9"/>
      <c r="G260" s="14"/>
    </row>
    <row r="261" spans="1:7" ht="12.75">
      <c r="A261" s="5" t="s">
        <v>77</v>
      </c>
      <c r="B261" s="4" t="s">
        <v>62</v>
      </c>
      <c r="C261" s="8"/>
      <c r="D261" s="46">
        <f>'RUF WORK FOR ALL'!D330</f>
        <v>3000</v>
      </c>
      <c r="E261" s="9">
        <f t="shared" si="0"/>
        <v>3000</v>
      </c>
      <c r="F261" s="9"/>
      <c r="G261" s="14"/>
    </row>
    <row r="262" spans="1:7" ht="12.75">
      <c r="A262" s="5" t="s">
        <v>275</v>
      </c>
      <c r="B262" s="4" t="s">
        <v>858</v>
      </c>
      <c r="C262" s="8"/>
      <c r="D262" s="46">
        <f>'RUF WORK FOR ALL'!D338</f>
        <v>3000</v>
      </c>
      <c r="E262" s="9">
        <f t="shared" si="0"/>
        <v>3000</v>
      </c>
      <c r="F262" s="9"/>
      <c r="G262" s="14"/>
    </row>
    <row r="263" spans="1:7" ht="12.75">
      <c r="A263" s="5" t="s">
        <v>41</v>
      </c>
      <c r="B263" s="16" t="s">
        <v>421</v>
      </c>
      <c r="C263" s="8"/>
      <c r="D263" s="46">
        <f>'RUF WORK FOR ALL'!D371</f>
        <v>658</v>
      </c>
      <c r="E263" s="9">
        <f t="shared" si="0"/>
        <v>658</v>
      </c>
      <c r="F263" s="9"/>
      <c r="G263" s="14"/>
    </row>
    <row r="264" spans="1:7" ht="12.75">
      <c r="A264" s="5" t="s">
        <v>77</v>
      </c>
      <c r="B264" s="4" t="s">
        <v>63</v>
      </c>
      <c r="C264" s="8"/>
      <c r="D264" s="46">
        <f>'RUF WORK FOR ALL'!D331</f>
        <v>66206</v>
      </c>
      <c r="E264" s="9">
        <f t="shared" si="0"/>
        <v>66206</v>
      </c>
      <c r="F264" s="9"/>
      <c r="G264" s="14"/>
    </row>
    <row r="265" spans="1:7" ht="12.75">
      <c r="A265" s="5" t="s">
        <v>41</v>
      </c>
      <c r="B265" s="16" t="s">
        <v>422</v>
      </c>
      <c r="C265" s="8"/>
      <c r="D265" s="46">
        <f>'RUF WORK FOR ALL'!D372</f>
        <v>192250</v>
      </c>
      <c r="E265" s="9">
        <f t="shared" si="0"/>
        <v>192250</v>
      </c>
      <c r="F265" s="9"/>
      <c r="G265" s="14"/>
    </row>
    <row r="266" spans="1:7" ht="12.75">
      <c r="A266" s="5" t="s">
        <v>36</v>
      </c>
      <c r="B266" s="16" t="s">
        <v>404</v>
      </c>
      <c r="C266" s="8"/>
      <c r="D266" s="46">
        <f>'RUF WORK FOR ALL'!D365</f>
        <v>31000</v>
      </c>
      <c r="E266" s="9">
        <f t="shared" si="0"/>
        <v>31000</v>
      </c>
      <c r="F266" s="9"/>
      <c r="G266" s="14"/>
    </row>
    <row r="267" spans="1:7" ht="12.75">
      <c r="A267" s="5" t="s">
        <v>39</v>
      </c>
      <c r="B267" s="4" t="s">
        <v>364</v>
      </c>
      <c r="C267" s="8"/>
      <c r="D267" s="46">
        <f>'RUF WORK FOR ALL'!D355</f>
        <v>37700</v>
      </c>
      <c r="E267" s="9">
        <f t="shared" si="0"/>
        <v>37700</v>
      </c>
      <c r="F267" s="9"/>
      <c r="G267" s="14"/>
    </row>
    <row r="268" spans="1:7" ht="12.75">
      <c r="A268" s="5" t="s">
        <v>39</v>
      </c>
      <c r="B268" s="4" t="s">
        <v>365</v>
      </c>
      <c r="C268" s="8"/>
      <c r="D268" s="46">
        <f>'RUF WORK FOR ALL'!D356</f>
        <v>500</v>
      </c>
      <c r="E268" s="9">
        <f t="shared" si="0"/>
        <v>500</v>
      </c>
      <c r="F268" s="9"/>
      <c r="G268" s="14"/>
    </row>
    <row r="269" spans="1:7" ht="12.75">
      <c r="A269" s="5" t="s">
        <v>41</v>
      </c>
      <c r="B269" s="16" t="s">
        <v>423</v>
      </c>
      <c r="C269" s="8"/>
      <c r="D269" s="46">
        <f>'RUF WORK FOR ALL'!D373</f>
        <v>12655</v>
      </c>
      <c r="E269" s="9">
        <f t="shared" si="0"/>
        <v>12655</v>
      </c>
      <c r="F269" s="9"/>
      <c r="G269" s="14"/>
    </row>
    <row r="270" spans="1:7" ht="12.75">
      <c r="A270" s="5" t="s">
        <v>41</v>
      </c>
      <c r="B270" s="16" t="s">
        <v>424</v>
      </c>
      <c r="C270" s="8"/>
      <c r="D270" s="46">
        <f>'RUF WORK FOR ALL'!D374</f>
        <v>100000</v>
      </c>
      <c r="E270" s="9">
        <f t="shared" si="0"/>
        <v>100000</v>
      </c>
      <c r="F270" s="9"/>
      <c r="G270" s="14"/>
    </row>
    <row r="271" spans="1:7" ht="12.75">
      <c r="A271" s="5" t="s">
        <v>77</v>
      </c>
      <c r="B271" s="4" t="s">
        <v>64</v>
      </c>
      <c r="C271" s="8"/>
      <c r="D271" s="46">
        <f>'RUF WORK FOR ALL'!D332</f>
        <v>500</v>
      </c>
      <c r="E271" s="9">
        <f t="shared" si="0"/>
        <v>500</v>
      </c>
      <c r="F271" s="9"/>
      <c r="G271" s="14"/>
    </row>
    <row r="272" spans="1:7" ht="12.75">
      <c r="A272" s="5" t="s">
        <v>275</v>
      </c>
      <c r="B272" s="4" t="s">
        <v>859</v>
      </c>
      <c r="C272" s="8"/>
      <c r="D272" s="46">
        <f>'RUF WORK FOR ALL'!D339</f>
        <v>2500</v>
      </c>
      <c r="E272" s="9">
        <f t="shared" si="0"/>
        <v>2500</v>
      </c>
      <c r="F272" s="9"/>
      <c r="G272" s="14"/>
    </row>
    <row r="273" spans="1:7" ht="12.75">
      <c r="A273" s="5" t="s">
        <v>41</v>
      </c>
      <c r="B273" s="4" t="s">
        <v>855</v>
      </c>
      <c r="C273" s="8"/>
      <c r="D273" s="46">
        <f>'RUF WORK FOR ALL'!D377</f>
        <v>1400</v>
      </c>
      <c r="E273" s="9">
        <f t="shared" si="0"/>
        <v>1400</v>
      </c>
      <c r="F273" s="9"/>
      <c r="G273" s="14"/>
    </row>
    <row r="274" spans="1:7" ht="12.75">
      <c r="A274" s="5" t="s">
        <v>41</v>
      </c>
      <c r="B274" s="16" t="s">
        <v>425</v>
      </c>
      <c r="C274" s="8"/>
      <c r="D274" s="46">
        <f>'RUF WORK FOR ALL'!D375</f>
        <v>385</v>
      </c>
      <c r="E274" s="9">
        <f t="shared" si="0"/>
        <v>385</v>
      </c>
      <c r="F274" s="9"/>
      <c r="G274" s="14"/>
    </row>
    <row r="275" spans="1:7" ht="12.75">
      <c r="A275" s="5" t="s">
        <v>39</v>
      </c>
      <c r="B275" s="4" t="s">
        <v>366</v>
      </c>
      <c r="C275" s="8"/>
      <c r="D275" s="46">
        <f>'RUF WORK FOR ALL'!D357</f>
        <v>44000</v>
      </c>
      <c r="E275" s="9">
        <f t="shared" si="0"/>
        <v>44000</v>
      </c>
      <c r="F275" s="9"/>
      <c r="G275" s="14"/>
    </row>
    <row r="276" spans="1:7" ht="12.75">
      <c r="A276" s="5" t="s">
        <v>275</v>
      </c>
      <c r="B276" s="4" t="s">
        <v>784</v>
      </c>
      <c r="C276" s="8"/>
      <c r="D276" s="46">
        <f>'RUF WORK FOR ALL'!D340</f>
        <v>106000</v>
      </c>
      <c r="E276" s="9">
        <f t="shared" si="0"/>
        <v>106000</v>
      </c>
      <c r="F276" s="9"/>
      <c r="G276" s="14"/>
    </row>
    <row r="277" spans="1:7" ht="12.75">
      <c r="A277" s="5" t="s">
        <v>39</v>
      </c>
      <c r="B277" s="4" t="s">
        <v>367</v>
      </c>
      <c r="C277" s="8"/>
      <c r="D277" s="46">
        <f>'RUF WORK FOR ALL'!D358</f>
        <v>6000</v>
      </c>
      <c r="E277" s="9">
        <f t="shared" si="0"/>
        <v>6000</v>
      </c>
      <c r="F277" s="18"/>
      <c r="G277" s="14"/>
    </row>
    <row r="278" spans="1:7" ht="12.75">
      <c r="A278" s="5" t="s">
        <v>275</v>
      </c>
      <c r="B278" s="4" t="s">
        <v>860</v>
      </c>
      <c r="C278" s="8"/>
      <c r="D278" s="46">
        <f>'RUF WORK FOR ALL'!D341</f>
        <v>3000</v>
      </c>
      <c r="E278" s="9">
        <f t="shared" si="0"/>
        <v>3000</v>
      </c>
      <c r="F278" s="13"/>
      <c r="G278" s="14"/>
    </row>
    <row r="279" spans="1:7" ht="12.75">
      <c r="A279" s="5" t="s">
        <v>41</v>
      </c>
      <c r="B279" s="16" t="s">
        <v>426</v>
      </c>
      <c r="C279" s="8"/>
      <c r="D279" s="46">
        <f>'RUF WORK FOR ALL'!D376</f>
        <v>1500</v>
      </c>
      <c r="E279" s="9">
        <f t="shared" si="0"/>
        <v>1500</v>
      </c>
      <c r="F279" s="18"/>
      <c r="G279" s="14"/>
    </row>
    <row r="280" spans="1:7" ht="12.75">
      <c r="A280" s="5" t="s">
        <v>77</v>
      </c>
      <c r="B280" s="4" t="s">
        <v>66</v>
      </c>
      <c r="C280" s="8"/>
      <c r="D280" s="46">
        <f>'RUF WORK FOR ALL'!D334</f>
        <v>1500</v>
      </c>
      <c r="E280" s="9">
        <f t="shared" si="0"/>
        <v>1500</v>
      </c>
      <c r="F280" s="18"/>
      <c r="G280" s="14"/>
    </row>
    <row r="281" spans="1:7" ht="12.75">
      <c r="A281" s="5" t="s">
        <v>77</v>
      </c>
      <c r="B281" s="4" t="s">
        <v>67</v>
      </c>
      <c r="C281" s="8"/>
      <c r="D281" s="46">
        <f>'RUF WORK FOR ALL'!D335</f>
        <v>52000</v>
      </c>
      <c r="E281" s="9">
        <f t="shared" si="0"/>
        <v>52000</v>
      </c>
      <c r="F281" s="18"/>
      <c r="G281" s="14"/>
    </row>
    <row r="282" spans="1:7" ht="12.75">
      <c r="A282" s="5" t="s">
        <v>39</v>
      </c>
      <c r="B282" s="4" t="s">
        <v>368</v>
      </c>
      <c r="C282" s="8"/>
      <c r="D282" s="46">
        <f>'RUF WORK FOR ALL'!D359</f>
        <v>133000</v>
      </c>
      <c r="E282" s="9">
        <f t="shared" si="0"/>
        <v>133000</v>
      </c>
      <c r="F282" s="13"/>
      <c r="G282" s="14"/>
    </row>
    <row r="283" spans="1:7" ht="12.75">
      <c r="A283" s="5" t="s">
        <v>39</v>
      </c>
      <c r="B283" s="4" t="s">
        <v>369</v>
      </c>
      <c r="C283" s="8"/>
      <c r="D283" s="46">
        <f>'RUF WORK FOR ALL'!D360</f>
        <v>4942</v>
      </c>
      <c r="E283" s="9">
        <f t="shared" si="0"/>
        <v>4942</v>
      </c>
      <c r="F283" s="13"/>
      <c r="G283" s="14"/>
    </row>
    <row r="284" spans="1:7" ht="12.75">
      <c r="A284" s="11" t="s">
        <v>38</v>
      </c>
      <c r="B284" s="16" t="s">
        <v>98</v>
      </c>
      <c r="C284" s="8"/>
      <c r="D284" s="46">
        <f>'RUF WORK FOR ALL'!D329</f>
        <v>1000</v>
      </c>
      <c r="E284" s="9">
        <f t="shared" si="0"/>
        <v>1000</v>
      </c>
      <c r="F284" s="13"/>
      <c r="G284" s="14"/>
    </row>
    <row r="285" spans="1:7" ht="12.75">
      <c r="A285" s="5" t="s">
        <v>41</v>
      </c>
      <c r="B285" s="16" t="s">
        <v>856</v>
      </c>
      <c r="C285" s="8"/>
      <c r="D285" s="46">
        <f>'RUF WORK FOR ALL'!D378</f>
        <v>9000</v>
      </c>
      <c r="E285" s="9">
        <f t="shared" si="0"/>
        <v>9000</v>
      </c>
      <c r="F285" s="13"/>
      <c r="G285" s="14"/>
    </row>
    <row r="286" spans="1:7" ht="12.75">
      <c r="A286" s="5" t="s">
        <v>275</v>
      </c>
      <c r="B286" s="4" t="s">
        <v>785</v>
      </c>
      <c r="C286" s="8"/>
      <c r="D286" s="46">
        <f>'RUF WORK FOR ALL'!D342</f>
        <v>13000</v>
      </c>
      <c r="E286" s="9">
        <f t="shared" si="0"/>
        <v>13000</v>
      </c>
      <c r="F286" s="13"/>
      <c r="G286" s="14"/>
    </row>
    <row r="287" spans="1:7" ht="12.75">
      <c r="A287" s="5" t="s">
        <v>39</v>
      </c>
      <c r="B287" s="4" t="s">
        <v>370</v>
      </c>
      <c r="C287" s="8"/>
      <c r="D287" s="46">
        <f>'RUF WORK FOR ALL'!D361</f>
        <v>412</v>
      </c>
      <c r="E287" s="9">
        <f t="shared" si="0"/>
        <v>412</v>
      </c>
      <c r="F287" s="13"/>
      <c r="G287" s="14"/>
    </row>
    <row r="288" spans="1:7" ht="12.75">
      <c r="A288" s="5" t="s">
        <v>39</v>
      </c>
      <c r="B288" s="4" t="s">
        <v>371</v>
      </c>
      <c r="C288" s="8"/>
      <c r="D288" s="46">
        <f>'RUF WORK FOR ALL'!D362</f>
        <v>243941</v>
      </c>
      <c r="E288" s="9">
        <f t="shared" si="0"/>
        <v>243941</v>
      </c>
      <c r="F288" s="13"/>
      <c r="G288" s="14"/>
    </row>
    <row r="289" spans="1:7" ht="12.75">
      <c r="A289" s="5" t="s">
        <v>36</v>
      </c>
      <c r="B289" s="16" t="s">
        <v>405</v>
      </c>
      <c r="C289" s="8"/>
      <c r="D289" s="46">
        <f>'RUF WORK FOR ALL'!D366</f>
        <v>1000</v>
      </c>
      <c r="E289" s="9">
        <f t="shared" si="0"/>
        <v>1000</v>
      </c>
      <c r="F289" s="13"/>
      <c r="G289" s="14"/>
    </row>
    <row r="290" spans="1:7" ht="12.75">
      <c r="A290" s="5" t="s">
        <v>275</v>
      </c>
      <c r="B290" s="4" t="s">
        <v>861</v>
      </c>
      <c r="C290" s="8"/>
      <c r="D290" s="46">
        <f>'RUF WORK FOR ALL'!D343</f>
        <v>40000</v>
      </c>
      <c r="E290" s="9">
        <f t="shared" si="0"/>
        <v>40000</v>
      </c>
      <c r="F290" s="18"/>
      <c r="G290" s="14"/>
    </row>
    <row r="291" spans="1:7" ht="12.75">
      <c r="A291" s="5" t="s">
        <v>275</v>
      </c>
      <c r="B291" s="4" t="s">
        <v>862</v>
      </c>
      <c r="C291" s="8"/>
      <c r="D291" s="46">
        <f>'RUF WORK FOR ALL'!D344</f>
        <v>1500</v>
      </c>
      <c r="E291" s="9">
        <f t="shared" si="0"/>
        <v>1500</v>
      </c>
      <c r="F291" s="18"/>
      <c r="G291" s="14"/>
    </row>
    <row r="292" spans="1:7" ht="12.75">
      <c r="A292" s="5" t="s">
        <v>77</v>
      </c>
      <c r="B292" s="4" t="s">
        <v>68</v>
      </c>
      <c r="C292" s="8"/>
      <c r="D292" s="9">
        <f>'RUF WORK FOR ALL'!D336</f>
        <v>1024</v>
      </c>
      <c r="E292" s="18"/>
      <c r="F292" s="18"/>
      <c r="G292" s="14"/>
    </row>
    <row r="293" spans="1:7" ht="12.75">
      <c r="A293" s="5" t="s">
        <v>275</v>
      </c>
      <c r="B293" s="4" t="s">
        <v>68</v>
      </c>
      <c r="C293" s="8"/>
      <c r="D293" s="9">
        <f>'RUF WORK FOR ALL'!D345</f>
        <v>166</v>
      </c>
      <c r="E293" s="18"/>
      <c r="F293" s="18"/>
      <c r="G293" s="14"/>
    </row>
    <row r="294" spans="1:7" ht="12.75">
      <c r="A294" s="5" t="s">
        <v>39</v>
      </c>
      <c r="B294" s="16" t="s">
        <v>68</v>
      </c>
      <c r="C294" s="8"/>
      <c r="D294" s="9">
        <f>'RUF WORK FOR ALL'!D363</f>
        <v>650</v>
      </c>
      <c r="E294" s="18"/>
      <c r="F294" s="18"/>
      <c r="G294" s="14"/>
    </row>
    <row r="295" spans="1:7" ht="12.75">
      <c r="A295" s="5" t="s">
        <v>36</v>
      </c>
      <c r="B295" s="16" t="s">
        <v>68</v>
      </c>
      <c r="C295" s="8"/>
      <c r="D295" s="9">
        <f>'RUF WORK FOR ALL'!D368</f>
        <v>94</v>
      </c>
      <c r="E295" s="18"/>
      <c r="F295" s="18"/>
      <c r="G295" s="14"/>
    </row>
    <row r="296" spans="1:7" ht="12.75">
      <c r="A296" s="5" t="s">
        <v>41</v>
      </c>
      <c r="B296" s="16" t="s">
        <v>68</v>
      </c>
      <c r="C296" s="8"/>
      <c r="D296" s="46">
        <f>'RUF WORK FOR ALL'!D379</f>
        <v>735</v>
      </c>
      <c r="E296" s="18">
        <f>SUM(D292:D296)</f>
        <v>2669</v>
      </c>
      <c r="F296" s="18"/>
      <c r="G296" s="14"/>
    </row>
    <row r="297" spans="1:7" ht="12.75">
      <c r="A297" s="5" t="s">
        <v>77</v>
      </c>
      <c r="B297" s="4" t="s">
        <v>69</v>
      </c>
      <c r="C297" s="8"/>
      <c r="D297" s="46">
        <f>'RUF WORK FOR ALL'!D337</f>
        <v>10000</v>
      </c>
      <c r="E297" s="18">
        <f>D297</f>
        <v>10000</v>
      </c>
      <c r="F297" s="18"/>
      <c r="G297" s="14"/>
    </row>
    <row r="298" spans="1:7" ht="12.75">
      <c r="A298" s="5" t="s">
        <v>39</v>
      </c>
      <c r="B298" s="16" t="s">
        <v>372</v>
      </c>
      <c r="C298" s="8"/>
      <c r="D298" s="46">
        <f>'RUF WORK FOR ALL'!D364</f>
        <v>50000</v>
      </c>
      <c r="E298" s="18">
        <f>D298</f>
        <v>50000</v>
      </c>
      <c r="F298" s="18"/>
      <c r="G298" s="14"/>
    </row>
    <row r="299" spans="1:10" ht="12.75">
      <c r="A299" s="5" t="s">
        <v>36</v>
      </c>
      <c r="B299" s="16" t="s">
        <v>406</v>
      </c>
      <c r="C299" s="8"/>
      <c r="D299" s="46">
        <f>'RUF WORK FOR ALL'!D367</f>
        <v>748</v>
      </c>
      <c r="E299" s="18">
        <f>D299</f>
        <v>748</v>
      </c>
      <c r="F299" s="13"/>
      <c r="G299" s="14"/>
      <c r="H299" s="2"/>
      <c r="I299" s="14"/>
      <c r="J299" s="14"/>
    </row>
    <row r="300" spans="2:10" ht="12.75">
      <c r="B300" s="1" t="s">
        <v>329</v>
      </c>
      <c r="C300" s="2"/>
      <c r="D300" s="45"/>
      <c r="E300" s="4"/>
      <c r="F300" s="4"/>
      <c r="G300" s="14"/>
      <c r="H300" s="2"/>
      <c r="I300" s="14"/>
      <c r="J300" s="14"/>
    </row>
    <row r="301" spans="1:7" ht="12.75">
      <c r="A301" s="5" t="s">
        <v>77</v>
      </c>
      <c r="B301" s="4" t="s">
        <v>46</v>
      </c>
      <c r="D301" s="9">
        <f>'RUF WORK FOR ALL'!D219</f>
        <v>41045</v>
      </c>
      <c r="G301" s="14"/>
    </row>
    <row r="302" spans="1:7" ht="12.75">
      <c r="A302" s="5" t="s">
        <v>39</v>
      </c>
      <c r="B302" s="4" t="s">
        <v>46</v>
      </c>
      <c r="D302" s="46">
        <f>'RUF WORK FOR ALL'!D221</f>
        <v>2600</v>
      </c>
      <c r="E302" s="14">
        <f>SUM(D301:D302)</f>
        <v>43645</v>
      </c>
      <c r="G302" s="14"/>
    </row>
    <row r="303" spans="1:7" ht="12.75">
      <c r="A303" s="5" t="s">
        <v>39</v>
      </c>
      <c r="B303" s="4" t="s">
        <v>677</v>
      </c>
      <c r="D303" s="49">
        <v>4500</v>
      </c>
      <c r="E303" s="14">
        <f>D303</f>
        <v>4500</v>
      </c>
      <c r="G303" s="14">
        <f>SUM(E259:E303)</f>
        <v>1667611</v>
      </c>
    </row>
    <row r="304" spans="2:7" ht="12.75">
      <c r="B304" s="5"/>
      <c r="C304" s="5"/>
      <c r="D304" s="5"/>
      <c r="G304" s="14"/>
    </row>
    <row r="305" spans="4:7" ht="12.75">
      <c r="D305" s="18"/>
      <c r="E305" s="14"/>
      <c r="G305" s="14"/>
    </row>
    <row r="306" spans="2:7" ht="12.75">
      <c r="B306" s="1" t="s">
        <v>876</v>
      </c>
      <c r="C306" s="2"/>
      <c r="D306" s="45"/>
      <c r="G306" s="14"/>
    </row>
    <row r="307" spans="1:7" ht="12.75">
      <c r="A307" s="5" t="s">
        <v>690</v>
      </c>
      <c r="B307" s="4" t="s">
        <v>121</v>
      </c>
      <c r="C307" s="2"/>
      <c r="D307" s="48">
        <f>'RUF WORK FOR ALL'!D732</f>
        <v>21657</v>
      </c>
      <c r="G307" s="14"/>
    </row>
    <row r="308" spans="1:7" ht="12.75">
      <c r="A308" s="5" t="s">
        <v>217</v>
      </c>
      <c r="B308" s="4" t="s">
        <v>121</v>
      </c>
      <c r="D308" s="48">
        <f>'RUF WORK FOR ALL'!D733</f>
        <v>1959662</v>
      </c>
      <c r="G308" s="14"/>
    </row>
    <row r="309" spans="1:7" ht="12.75">
      <c r="A309" s="5" t="s">
        <v>41</v>
      </c>
      <c r="B309" s="4" t="s">
        <v>464</v>
      </c>
      <c r="D309" s="48">
        <f>'RUF WORK FOR ALL'!D735</f>
        <v>28930</v>
      </c>
      <c r="G309" s="14"/>
    </row>
    <row r="310" spans="1:10" ht="12.75">
      <c r="A310" s="5" t="s">
        <v>41</v>
      </c>
      <c r="B310" s="4" t="s">
        <v>247</v>
      </c>
      <c r="D310" s="50">
        <f>'RUF WORK FOR ALL'!D734</f>
        <v>13932</v>
      </c>
      <c r="E310" s="14">
        <f>SUM(D307:D310)</f>
        <v>2024181</v>
      </c>
      <c r="G310" s="14">
        <f>E310</f>
        <v>2024181</v>
      </c>
      <c r="I310" s="14"/>
      <c r="J310" s="14"/>
    </row>
    <row r="311" spans="4:10" ht="12.75">
      <c r="D311" s="48"/>
      <c r="E311" s="14"/>
      <c r="G311" s="14"/>
      <c r="I311" s="14"/>
      <c r="J311" s="14"/>
    </row>
    <row r="312" spans="4:10" ht="12.75">
      <c r="D312" s="48"/>
      <c r="E312" s="14"/>
      <c r="G312" s="14"/>
      <c r="I312" s="14"/>
      <c r="J312" s="14"/>
    </row>
    <row r="313" spans="2:7" ht="12.75">
      <c r="B313" s="1" t="s">
        <v>331</v>
      </c>
      <c r="C313" s="2"/>
      <c r="D313" s="45"/>
      <c r="G313" s="14"/>
    </row>
    <row r="314" spans="1:7" ht="12.75">
      <c r="A314" s="5" t="s">
        <v>39</v>
      </c>
      <c r="B314" s="4" t="s">
        <v>352</v>
      </c>
      <c r="D314" s="9">
        <f>'RUF WORK FOR ALL'!D280</f>
        <v>16730</v>
      </c>
      <c r="G314" s="14"/>
    </row>
    <row r="315" spans="1:7" ht="12.75">
      <c r="A315" s="5" t="s">
        <v>36</v>
      </c>
      <c r="B315" s="4" t="s">
        <v>352</v>
      </c>
      <c r="D315" s="9">
        <f>'RUF WORK FOR ALL'!D284</f>
        <v>4972</v>
      </c>
      <c r="G315" s="14"/>
    </row>
    <row r="316" spans="1:7" ht="12.75">
      <c r="A316" s="5" t="s">
        <v>41</v>
      </c>
      <c r="B316" s="4" t="s">
        <v>352</v>
      </c>
      <c r="D316" s="9">
        <f>'RUF WORK FOR ALL'!D286</f>
        <v>13240</v>
      </c>
      <c r="G316" s="14"/>
    </row>
    <row r="317" spans="1:7" ht="12.75">
      <c r="A317" s="5" t="s">
        <v>217</v>
      </c>
      <c r="B317" s="4" t="s">
        <v>352</v>
      </c>
      <c r="D317" s="9">
        <f>'RUF WORK FOR ALL'!D276</f>
        <v>3419</v>
      </c>
      <c r="E317" s="14"/>
      <c r="G317" s="14"/>
    </row>
    <row r="318" spans="1:7" ht="12.75">
      <c r="A318" s="5" t="s">
        <v>248</v>
      </c>
      <c r="B318" s="4" t="s">
        <v>352</v>
      </c>
      <c r="D318" s="46">
        <f>'RUF WORK FOR ALL'!D277</f>
        <v>32763</v>
      </c>
      <c r="E318" s="14">
        <f>SUM(D314:D318)</f>
        <v>71124</v>
      </c>
      <c r="G318" s="14"/>
    </row>
    <row r="319" spans="1:7" ht="12.75">
      <c r="A319" s="5" t="s">
        <v>77</v>
      </c>
      <c r="B319" s="4" t="s">
        <v>58</v>
      </c>
      <c r="D319" s="9">
        <f>'RUF WORK FOR ALL'!D272</f>
        <v>39029</v>
      </c>
      <c r="E319" s="14"/>
      <c r="G319" s="14"/>
    </row>
    <row r="320" spans="1:7" ht="12.75">
      <c r="A320" s="5" t="s">
        <v>275</v>
      </c>
      <c r="B320" s="4" t="s">
        <v>58</v>
      </c>
      <c r="D320" s="9">
        <f>'RUF WORK FOR ALL'!D278</f>
        <v>210015</v>
      </c>
      <c r="E320" s="14"/>
      <c r="G320" s="14"/>
    </row>
    <row r="321" spans="1:7" ht="12.75">
      <c r="A321" s="5" t="s">
        <v>39</v>
      </c>
      <c r="B321" s="4" t="s">
        <v>58</v>
      </c>
      <c r="D321" s="9">
        <f>'RUF WORK FOR ALL'!D281</f>
        <v>167430</v>
      </c>
      <c r="E321" s="14"/>
      <c r="G321" s="14"/>
    </row>
    <row r="322" spans="1:7" ht="12.75">
      <c r="A322" s="5" t="s">
        <v>36</v>
      </c>
      <c r="B322" s="4" t="s">
        <v>58</v>
      </c>
      <c r="D322" s="9">
        <f>'RUF WORK FOR ALL'!D285</f>
        <v>9673</v>
      </c>
      <c r="E322" s="14"/>
      <c r="G322" s="14"/>
    </row>
    <row r="323" spans="1:7" ht="12.75">
      <c r="A323" s="5" t="s">
        <v>41</v>
      </c>
      <c r="B323" s="4" t="s">
        <v>58</v>
      </c>
      <c r="D323" s="46">
        <f>'RUF WORK FOR ALL'!D287</f>
        <v>31806</v>
      </c>
      <c r="E323" s="14">
        <f>SUM(D319:D323)</f>
        <v>457953</v>
      </c>
      <c r="G323" s="14"/>
    </row>
    <row r="324" spans="1:7" ht="12.75">
      <c r="A324" s="5" t="s">
        <v>39</v>
      </c>
      <c r="B324" s="4" t="s">
        <v>353</v>
      </c>
      <c r="D324" s="9">
        <f>'RUF WORK FOR ALL'!D282</f>
        <v>157500</v>
      </c>
      <c r="E324" s="14"/>
      <c r="G324" s="14"/>
    </row>
    <row r="325" spans="1:7" ht="12.75">
      <c r="A325" s="5" t="s">
        <v>41</v>
      </c>
      <c r="B325" s="4" t="s">
        <v>353</v>
      </c>
      <c r="D325" s="46">
        <f>'RUF WORK FOR ALL'!D288</f>
        <v>100000</v>
      </c>
      <c r="E325" s="14">
        <f>SUM(D324:D325)</f>
        <v>257500</v>
      </c>
      <c r="G325" s="14"/>
    </row>
    <row r="326" spans="1:7" ht="12.75">
      <c r="A326" s="5" t="s">
        <v>77</v>
      </c>
      <c r="B326" s="4" t="s">
        <v>59</v>
      </c>
      <c r="D326" s="46">
        <f>'RUF WORK FOR ALL'!D273</f>
        <v>41329</v>
      </c>
      <c r="E326" s="14">
        <f>D326</f>
        <v>41329</v>
      </c>
      <c r="G326" s="14"/>
    </row>
    <row r="327" spans="1:7" ht="12.75">
      <c r="A327" s="5" t="s">
        <v>77</v>
      </c>
      <c r="B327" s="4" t="s">
        <v>60</v>
      </c>
      <c r="D327" s="9">
        <f>'RUF WORK FOR ALL'!D274</f>
        <v>7289</v>
      </c>
      <c r="E327" s="14"/>
      <c r="G327" s="14"/>
    </row>
    <row r="328" spans="1:7" ht="12.75">
      <c r="A328" s="5" t="s">
        <v>39</v>
      </c>
      <c r="B328" s="4" t="s">
        <v>60</v>
      </c>
      <c r="D328" s="9">
        <f>'RUF WORK FOR ALL'!D283</f>
        <v>27001</v>
      </c>
      <c r="E328" s="14"/>
      <c r="G328" s="14"/>
    </row>
    <row r="329" spans="1:7" ht="12.75">
      <c r="A329" s="5" t="s">
        <v>41</v>
      </c>
      <c r="B329" s="4" t="s">
        <v>60</v>
      </c>
      <c r="D329" s="46">
        <f>'RUF WORK FOR ALL'!D289</f>
        <v>32400</v>
      </c>
      <c r="E329" s="14">
        <f>SUM(D327:D329)</f>
        <v>66690</v>
      </c>
      <c r="G329" s="14"/>
    </row>
    <row r="330" spans="1:7" ht="12.75">
      <c r="A330" s="5" t="s">
        <v>77</v>
      </c>
      <c r="B330" s="4" t="s">
        <v>61</v>
      </c>
      <c r="D330" s="46">
        <f>'RUF WORK FOR ALL'!D275</f>
        <v>39297</v>
      </c>
      <c r="E330" s="14">
        <f>D330</f>
        <v>39297</v>
      </c>
      <c r="G330" s="14"/>
    </row>
    <row r="331" spans="1:10" ht="12.75">
      <c r="A331" s="5" t="s">
        <v>275</v>
      </c>
      <c r="B331" s="4" t="s">
        <v>276</v>
      </c>
      <c r="D331" s="46">
        <f>'RUF WORK FOR ALL'!D279</f>
        <v>27150</v>
      </c>
      <c r="E331" s="14">
        <f>D331</f>
        <v>27150</v>
      </c>
      <c r="G331" s="14">
        <f>SUM(E314:E331)</f>
        <v>961043</v>
      </c>
      <c r="I331" s="14"/>
      <c r="J331" s="14"/>
    </row>
    <row r="332" spans="4:7" ht="12.75">
      <c r="D332" s="18"/>
      <c r="E332" s="14"/>
      <c r="G332" s="14"/>
    </row>
    <row r="333" spans="4:7" ht="12.75">
      <c r="D333" s="9"/>
      <c r="E333" s="14"/>
      <c r="G333" s="14"/>
    </row>
    <row r="334" spans="2:7" ht="12.75">
      <c r="B334" s="1" t="s">
        <v>689</v>
      </c>
      <c r="D334" s="9"/>
      <c r="E334" s="14"/>
      <c r="G334" s="14"/>
    </row>
    <row r="335" spans="1:7" ht="12.75">
      <c r="A335" s="5" t="s">
        <v>39</v>
      </c>
      <c r="B335" s="4" t="s">
        <v>349</v>
      </c>
      <c r="D335" s="9">
        <f>'RUF WORK FOR ALL'!D224</f>
        <v>158</v>
      </c>
      <c r="E335" s="14"/>
      <c r="G335" s="14"/>
    </row>
    <row r="336" spans="1:7" ht="12.75">
      <c r="A336" s="5" t="s">
        <v>41</v>
      </c>
      <c r="B336" s="16" t="s">
        <v>349</v>
      </c>
      <c r="C336" s="16"/>
      <c r="D336" s="9">
        <f>'RUF WORK FOR ALL'!D226</f>
        <v>661</v>
      </c>
      <c r="E336" s="18"/>
      <c r="F336" s="16"/>
      <c r="G336" s="14"/>
    </row>
    <row r="337" spans="1:10" ht="12.75">
      <c r="A337" s="5" t="s">
        <v>38</v>
      </c>
      <c r="B337" s="16" t="s">
        <v>349</v>
      </c>
      <c r="C337" s="16"/>
      <c r="D337" s="46">
        <f>218507.22-0.22</f>
        <v>218507</v>
      </c>
      <c r="E337" s="18">
        <f>SUM(D335:D337)</f>
        <v>219326</v>
      </c>
      <c r="F337" s="16"/>
      <c r="G337" s="14">
        <f>E337</f>
        <v>219326</v>
      </c>
      <c r="I337" s="14"/>
      <c r="J337" s="14"/>
    </row>
    <row r="338" spans="2:10" ht="12.75">
      <c r="B338" s="16"/>
      <c r="C338" s="8"/>
      <c r="D338" s="9"/>
      <c r="E338" s="18"/>
      <c r="F338" s="13"/>
      <c r="G338" s="14"/>
      <c r="H338" s="2"/>
      <c r="I338" s="14"/>
      <c r="J338" s="14"/>
    </row>
    <row r="339" spans="4:7" ht="12.75">
      <c r="D339" s="18"/>
      <c r="E339" s="14"/>
      <c r="G339" s="14"/>
    </row>
    <row r="340" spans="2:7" ht="12.75">
      <c r="B340" s="1" t="s">
        <v>330</v>
      </c>
      <c r="C340" s="2"/>
      <c r="D340" s="3"/>
      <c r="G340" s="14"/>
    </row>
    <row r="341" spans="1:7" ht="12.75">
      <c r="A341" s="5" t="s">
        <v>77</v>
      </c>
      <c r="B341" s="4" t="s">
        <v>48</v>
      </c>
      <c r="D341" s="9">
        <f>'RUF WORK FOR ALL'!D234</f>
        <v>3003</v>
      </c>
      <c r="G341" s="14"/>
    </row>
    <row r="342" spans="1:7" ht="12.75">
      <c r="A342" s="5" t="s">
        <v>248</v>
      </c>
      <c r="B342" s="4" t="s">
        <v>48</v>
      </c>
      <c r="D342" s="9">
        <f>'RUF WORK FOR ALL'!D245</f>
        <v>4500</v>
      </c>
      <c r="G342" s="14"/>
    </row>
    <row r="343" spans="1:7" ht="12.75">
      <c r="A343" s="5" t="s">
        <v>275</v>
      </c>
      <c r="B343" s="4" t="s">
        <v>48</v>
      </c>
      <c r="D343" s="9">
        <f>'RUF WORK FOR ALL'!D247</f>
        <v>3271</v>
      </c>
      <c r="G343" s="14"/>
    </row>
    <row r="344" spans="1:7" ht="12.75">
      <c r="A344" s="5" t="s">
        <v>39</v>
      </c>
      <c r="B344" s="4" t="s">
        <v>48</v>
      </c>
      <c r="D344" s="9">
        <f>'RUF WORK FOR ALL'!D249</f>
        <v>1611</v>
      </c>
      <c r="G344" s="14"/>
    </row>
    <row r="345" spans="1:10" ht="12.75">
      <c r="A345" s="5" t="s">
        <v>41</v>
      </c>
      <c r="B345" s="4" t="s">
        <v>48</v>
      </c>
      <c r="D345" s="46">
        <f>'RUF WORK FOR ALL'!D256</f>
        <v>313</v>
      </c>
      <c r="E345" s="14">
        <f>SUM(D341:D345)</f>
        <v>12698</v>
      </c>
      <c r="G345" s="14"/>
      <c r="I345" s="14"/>
      <c r="J345" s="14"/>
    </row>
    <row r="346" spans="1:7" ht="12.75">
      <c r="A346" s="5" t="s">
        <v>39</v>
      </c>
      <c r="B346" s="4" t="s">
        <v>373</v>
      </c>
      <c r="D346" s="9">
        <f>'RUF WORK FOR ALL'!D251</f>
        <v>226332</v>
      </c>
      <c r="G346" s="14"/>
    </row>
    <row r="347" spans="1:7" ht="12.75">
      <c r="A347" s="5" t="s">
        <v>41</v>
      </c>
      <c r="B347" s="4" t="s">
        <v>428</v>
      </c>
      <c r="D347" s="9">
        <f>'RUF WORK FOR ALL'!D258</f>
        <v>33326</v>
      </c>
      <c r="G347" s="14"/>
    </row>
    <row r="348" spans="1:7" ht="12.75">
      <c r="A348" s="5" t="s">
        <v>36</v>
      </c>
      <c r="B348" s="4" t="s">
        <v>402</v>
      </c>
      <c r="D348" s="9">
        <f>'RUF WORK FOR ALL'!D254</f>
        <v>36010</v>
      </c>
      <c r="E348" s="14"/>
      <c r="G348" s="14"/>
    </row>
    <row r="349" spans="1:7" ht="12.75">
      <c r="A349" s="5" t="s">
        <v>77</v>
      </c>
      <c r="B349" s="4" t="s">
        <v>50</v>
      </c>
      <c r="D349" s="9">
        <f>'RUF WORK FOR ALL'!D236</f>
        <v>113607</v>
      </c>
      <c r="G349" s="14"/>
    </row>
    <row r="350" spans="1:7" ht="12.75">
      <c r="A350" s="5" t="s">
        <v>77</v>
      </c>
      <c r="B350" s="4" t="s">
        <v>51</v>
      </c>
      <c r="D350" s="46">
        <f>'RUF WORK FOR ALL'!D237</f>
        <v>370326</v>
      </c>
      <c r="E350" s="14">
        <f>SUM(D346:D350)</f>
        <v>779601</v>
      </c>
      <c r="G350" s="14"/>
    </row>
    <row r="351" spans="1:7" ht="12.75">
      <c r="A351" s="5" t="s">
        <v>39</v>
      </c>
      <c r="B351" s="4" t="s">
        <v>374</v>
      </c>
      <c r="D351" s="9">
        <f>'RUF WORK FOR ALL'!D252</f>
        <v>2543750</v>
      </c>
      <c r="G351" s="14"/>
    </row>
    <row r="352" spans="1:7" ht="12.75">
      <c r="A352" s="5" t="s">
        <v>38</v>
      </c>
      <c r="B352" s="4" t="s">
        <v>206</v>
      </c>
      <c r="D352" s="46">
        <f>'RUF WORK FOR ALL'!D231</f>
        <v>4196330</v>
      </c>
      <c r="E352" s="14">
        <f>SUM(D351:D352)</f>
        <v>6740080</v>
      </c>
      <c r="G352" s="14"/>
    </row>
    <row r="353" spans="1:7" ht="12.75">
      <c r="A353" s="5" t="s">
        <v>77</v>
      </c>
      <c r="B353" s="4" t="s">
        <v>52</v>
      </c>
      <c r="D353" s="9">
        <f>'RUF WORK FOR ALL'!D238</f>
        <v>741460</v>
      </c>
      <c r="E353" s="14"/>
      <c r="G353" s="14"/>
    </row>
    <row r="354" spans="1:7" ht="12.75">
      <c r="A354" s="5" t="s">
        <v>39</v>
      </c>
      <c r="B354" s="4" t="s">
        <v>375</v>
      </c>
      <c r="D354" s="9">
        <f>'RUF WORK FOR ALL'!D253</f>
        <v>1385331</v>
      </c>
      <c r="E354" s="14"/>
      <c r="G354" s="14"/>
    </row>
    <row r="355" spans="1:7" ht="12.75">
      <c r="A355" s="5" t="s">
        <v>41</v>
      </c>
      <c r="B355" s="4" t="s">
        <v>429</v>
      </c>
      <c r="D355" s="9">
        <f>'RUF WORK FOR ALL'!D259</f>
        <v>419963</v>
      </c>
      <c r="E355" s="14"/>
      <c r="G355" s="14"/>
    </row>
    <row r="356" spans="1:7" ht="12.75">
      <c r="A356" s="5" t="s">
        <v>41</v>
      </c>
      <c r="B356" s="4" t="s">
        <v>430</v>
      </c>
      <c r="D356" s="9">
        <f>'RUF WORK FOR ALL'!D260</f>
        <v>1079148</v>
      </c>
      <c r="E356" s="14"/>
      <c r="G356" s="14"/>
    </row>
    <row r="357" spans="1:7" ht="12.75">
      <c r="A357" s="5" t="s">
        <v>77</v>
      </c>
      <c r="B357" s="4" t="s">
        <v>54</v>
      </c>
      <c r="D357" s="9">
        <f>'RUF WORK FOR ALL'!D240</f>
        <v>14969</v>
      </c>
      <c r="E357" s="14"/>
      <c r="G357" s="14"/>
    </row>
    <row r="358" spans="1:7" ht="12.75">
      <c r="A358" s="5" t="s">
        <v>275</v>
      </c>
      <c r="B358" s="4" t="s">
        <v>277</v>
      </c>
      <c r="D358" s="9">
        <f>'RUF WORK FOR ALL'!D248</f>
        <v>492416</v>
      </c>
      <c r="E358" s="14"/>
      <c r="G358" s="14"/>
    </row>
    <row r="359" spans="1:7" ht="12.75">
      <c r="A359" s="5" t="s">
        <v>36</v>
      </c>
      <c r="B359" s="4" t="s">
        <v>403</v>
      </c>
      <c r="D359" s="9">
        <f>'RUF WORK FOR ALL'!D255</f>
        <v>151673</v>
      </c>
      <c r="E359" s="14"/>
      <c r="G359" s="14"/>
    </row>
    <row r="360" spans="1:7" ht="12.75">
      <c r="A360" s="5" t="s">
        <v>38</v>
      </c>
      <c r="B360" s="4" t="s">
        <v>207</v>
      </c>
      <c r="D360" s="9">
        <f>'RUF WORK FOR ALL'!D232</f>
        <v>2050</v>
      </c>
      <c r="E360" s="14"/>
      <c r="G360" s="14"/>
    </row>
    <row r="361" spans="1:7" ht="12.75">
      <c r="A361" s="5" t="s">
        <v>217</v>
      </c>
      <c r="B361" s="4" t="s">
        <v>207</v>
      </c>
      <c r="D361" s="9">
        <f>'RUF WORK FOR ALL'!D244</f>
        <v>231078</v>
      </c>
      <c r="E361" s="14"/>
      <c r="G361" s="14"/>
    </row>
    <row r="362" spans="1:7" ht="12.75">
      <c r="A362" s="5" t="s">
        <v>248</v>
      </c>
      <c r="B362" s="4" t="s">
        <v>251</v>
      </c>
      <c r="D362" s="9">
        <f>'RUF WORK FOR ALL'!D246</f>
        <v>217454</v>
      </c>
      <c r="E362" s="14"/>
      <c r="G362" s="14"/>
    </row>
    <row r="363" spans="1:7" ht="12.75">
      <c r="A363" s="5" t="s">
        <v>77</v>
      </c>
      <c r="B363" s="4" t="s">
        <v>53</v>
      </c>
      <c r="D363" s="9">
        <f>'RUF WORK FOR ALL'!D239</f>
        <v>11757</v>
      </c>
      <c r="E363" s="14"/>
      <c r="G363" s="14"/>
    </row>
    <row r="364" spans="1:7" ht="12.75">
      <c r="A364" s="5" t="s">
        <v>77</v>
      </c>
      <c r="B364" s="4" t="s">
        <v>55</v>
      </c>
      <c r="D364" s="46">
        <f>'RUF WORK FOR ALL'!D241</f>
        <v>34860</v>
      </c>
      <c r="E364" s="48">
        <f>SUM(D353:D364)</f>
        <v>4782159</v>
      </c>
      <c r="G364" s="14"/>
    </row>
    <row r="365" spans="1:7" ht="12.75">
      <c r="A365" s="5" t="s">
        <v>38</v>
      </c>
      <c r="B365" s="4" t="s">
        <v>208</v>
      </c>
      <c r="D365" s="9">
        <f>'RUF WORK FOR ALL'!D233</f>
        <v>18193</v>
      </c>
      <c r="E365" s="4"/>
      <c r="G365" s="14"/>
    </row>
    <row r="366" spans="1:7" ht="12.75">
      <c r="A366" s="5" t="s">
        <v>77</v>
      </c>
      <c r="B366" s="4" t="s">
        <v>56</v>
      </c>
      <c r="D366" s="46">
        <f>'RUF WORK FOR ALL'!D242</f>
        <v>23259</v>
      </c>
      <c r="E366" s="48">
        <f>SUM(D365:D366)</f>
        <v>41452</v>
      </c>
      <c r="G366" s="14"/>
    </row>
    <row r="367" spans="1:7" ht="12.75">
      <c r="A367" s="5" t="s">
        <v>41</v>
      </c>
      <c r="B367" s="4" t="s">
        <v>431</v>
      </c>
      <c r="D367" s="46">
        <f>'RUF WORK FOR ALL'!D261</f>
        <v>20562</v>
      </c>
      <c r="E367" s="48">
        <f>D367</f>
        <v>20562</v>
      </c>
      <c r="G367" s="14"/>
    </row>
    <row r="368" spans="1:10" ht="12.75">
      <c r="A368" s="5" t="s">
        <v>77</v>
      </c>
      <c r="B368" s="4" t="s">
        <v>57</v>
      </c>
      <c r="D368" s="46">
        <f>'RUF WORK FOR ALL'!D243</f>
        <v>10334</v>
      </c>
      <c r="E368" s="48">
        <f>D368</f>
        <v>10334</v>
      </c>
      <c r="G368" s="14">
        <f>SUM(E345:E368)</f>
        <v>12386886</v>
      </c>
      <c r="I368" s="14"/>
      <c r="J368" s="14"/>
    </row>
    <row r="369" spans="4:7" ht="12.75">
      <c r="D369" s="9"/>
      <c r="E369" s="48"/>
      <c r="G369" s="14"/>
    </row>
    <row r="371" spans="2:4" ht="12.75">
      <c r="B371" s="5"/>
      <c r="C371" s="5"/>
      <c r="D371" s="5"/>
    </row>
    <row r="372" spans="2:4" ht="12.75">
      <c r="B372" s="5"/>
      <c r="C372" s="5"/>
      <c r="D372" s="5"/>
    </row>
    <row r="373" spans="2:4" ht="12.75" customHeight="1">
      <c r="B373" s="5"/>
      <c r="C373" s="5"/>
      <c r="D373" s="5"/>
    </row>
    <row r="374" spans="2:4" ht="12.75" customHeight="1">
      <c r="B374" s="5"/>
      <c r="C374" s="5"/>
      <c r="D374" s="5"/>
    </row>
    <row r="375" spans="2:4" ht="12.75" customHeight="1">
      <c r="B375" s="5"/>
      <c r="C375" s="5"/>
      <c r="D375" s="5"/>
    </row>
    <row r="376" spans="2:4" ht="12.75" customHeight="1">
      <c r="B376" s="5"/>
      <c r="C376" s="5"/>
      <c r="D376" s="5"/>
    </row>
    <row r="377" spans="2:4" ht="12.75" customHeight="1">
      <c r="B377" s="5"/>
      <c r="C377" s="5"/>
      <c r="D377" s="5"/>
    </row>
    <row r="378" spans="2:4" ht="12.75" customHeight="1">
      <c r="B378" s="5"/>
      <c r="C378" s="5"/>
      <c r="D378" s="5"/>
    </row>
    <row r="379" spans="2:4" ht="12.75" customHeight="1">
      <c r="B379" s="5"/>
      <c r="C379" s="5"/>
      <c r="D379" s="5"/>
    </row>
    <row r="380" spans="2:4" ht="12.75" customHeight="1">
      <c r="B380" s="5"/>
      <c r="C380" s="5"/>
      <c r="D380" s="5"/>
    </row>
    <row r="381" spans="2:4" ht="12.75" customHeight="1">
      <c r="B381" s="5"/>
      <c r="C381" s="5"/>
      <c r="D381" s="5"/>
    </row>
    <row r="382" spans="2:4" ht="12.75" customHeight="1">
      <c r="B382" s="5"/>
      <c r="C382" s="5"/>
      <c r="D382" s="5"/>
    </row>
    <row r="383" spans="2:4" ht="12.75">
      <c r="B383" s="5"/>
      <c r="C383" s="5"/>
      <c r="D383" s="5"/>
    </row>
    <row r="384" spans="2:4" ht="12.75">
      <c r="B384" s="5"/>
      <c r="C384" s="5"/>
      <c r="D384" s="5"/>
    </row>
    <row r="385" spans="2:4" ht="12.75">
      <c r="B385" s="5"/>
      <c r="C385" s="5"/>
      <c r="D385" s="5"/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2:4" ht="12.75">
      <c r="B388" s="5"/>
      <c r="C388" s="5"/>
      <c r="D388" s="5"/>
    </row>
    <row r="389" spans="2:4" ht="12.75">
      <c r="B389" s="5"/>
      <c r="C389" s="5"/>
      <c r="D389" s="5"/>
    </row>
    <row r="390" spans="2:4" ht="12.75">
      <c r="B390" s="5"/>
      <c r="C390" s="5"/>
      <c r="D390" s="5"/>
    </row>
    <row r="391" spans="2:4" ht="12.75">
      <c r="B391" s="5"/>
      <c r="C391" s="5"/>
      <c r="D391" s="5"/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2:4" ht="12.75">
      <c r="B394" s="5"/>
      <c r="C394" s="5"/>
      <c r="D394" s="5"/>
    </row>
    <row r="395" spans="2:4" ht="12.75">
      <c r="B395" s="5"/>
      <c r="C395" s="5"/>
      <c r="D395" s="5"/>
    </row>
    <row r="396" spans="2:4" ht="12.75">
      <c r="B396" s="5"/>
      <c r="C396" s="5"/>
      <c r="D396" s="5"/>
    </row>
    <row r="397" ht="12.75">
      <c r="G397" s="14"/>
    </row>
    <row r="398" ht="12.75">
      <c r="G398" s="14"/>
    </row>
    <row r="399" ht="12.75">
      <c r="G399" s="14"/>
    </row>
    <row r="400" ht="12.75">
      <c r="G400" s="14"/>
    </row>
    <row r="401" ht="12.75">
      <c r="G401" s="14"/>
    </row>
    <row r="402" ht="12.75">
      <c r="G402" s="14"/>
    </row>
    <row r="403" ht="12.75">
      <c r="G403" s="14"/>
    </row>
    <row r="404" ht="12.75">
      <c r="G404" s="14"/>
    </row>
    <row r="405" ht="12.75">
      <c r="G405" s="14"/>
    </row>
    <row r="406" ht="12.75">
      <c r="G406" s="14"/>
    </row>
    <row r="407" ht="12.75">
      <c r="G407" s="14"/>
    </row>
    <row r="408" ht="12.75">
      <c r="G408" s="14"/>
    </row>
    <row r="409" ht="12.75">
      <c r="G409" s="14"/>
    </row>
    <row r="410" ht="12.75">
      <c r="G410" s="14"/>
    </row>
    <row r="411" ht="12.75">
      <c r="G411" s="14"/>
    </row>
    <row r="412" ht="12.75">
      <c r="G412" s="14"/>
    </row>
    <row r="413" ht="12.75">
      <c r="G413" s="14"/>
    </row>
    <row r="414" ht="12.75">
      <c r="G414" s="14"/>
    </row>
    <row r="415" ht="12.75">
      <c r="G415" s="14"/>
    </row>
    <row r="416" ht="12.75">
      <c r="G416" s="14"/>
    </row>
    <row r="417" ht="12.75">
      <c r="G417" s="14"/>
    </row>
    <row r="418" ht="12.75">
      <c r="G418" s="14"/>
    </row>
    <row r="419" ht="12.75">
      <c r="G419" s="14"/>
    </row>
    <row r="420" ht="12.75">
      <c r="G420" s="14"/>
    </row>
    <row r="421" ht="12.75">
      <c r="G421" s="14"/>
    </row>
    <row r="422" ht="12.75">
      <c r="G422" s="14"/>
    </row>
    <row r="423" ht="12.75">
      <c r="G423" s="14"/>
    </row>
    <row r="424" ht="12.75">
      <c r="G424" s="14"/>
    </row>
    <row r="425" ht="12.75">
      <c r="G425" s="14"/>
    </row>
    <row r="426" ht="12.75">
      <c r="G426" s="14"/>
    </row>
    <row r="427" ht="12.75">
      <c r="G427" s="14"/>
    </row>
    <row r="428" ht="12.75">
      <c r="G428" s="14"/>
    </row>
    <row r="429" ht="12.75">
      <c r="G429" s="14"/>
    </row>
    <row r="430" ht="12.75">
      <c r="G430" s="14"/>
    </row>
    <row r="431" ht="12.75">
      <c r="G431" s="14"/>
    </row>
    <row r="432" ht="12.75">
      <c r="G432" s="14"/>
    </row>
    <row r="433" ht="12.75">
      <c r="G433" s="14"/>
    </row>
    <row r="434" ht="12.75">
      <c r="G434" s="14"/>
    </row>
    <row r="435" ht="12.75">
      <c r="G435" s="14"/>
    </row>
    <row r="436" ht="12.75">
      <c r="G436" s="14"/>
    </row>
    <row r="437" ht="12.75">
      <c r="G437" s="14"/>
    </row>
    <row r="438" ht="12.75">
      <c r="G438" s="14"/>
    </row>
    <row r="439" ht="12.75">
      <c r="G439" s="14"/>
    </row>
    <row r="440" ht="12.75">
      <c r="G440" s="14"/>
    </row>
    <row r="441" ht="12.75">
      <c r="G441" s="14"/>
    </row>
    <row r="442" ht="12.75">
      <c r="G442" s="14"/>
    </row>
    <row r="443" ht="12.75">
      <c r="G443" s="14"/>
    </row>
    <row r="444" ht="12.75">
      <c r="G444" s="14"/>
    </row>
    <row r="445" ht="12.75">
      <c r="G445" s="14"/>
    </row>
    <row r="446" ht="12.75">
      <c r="G446" s="14"/>
    </row>
    <row r="447" ht="12.75">
      <c r="G447" s="14"/>
    </row>
    <row r="448" ht="12.75">
      <c r="G448" s="14"/>
    </row>
    <row r="449" ht="12.75">
      <c r="G449" s="14"/>
    </row>
    <row r="450" ht="12.75">
      <c r="G450" s="14"/>
    </row>
    <row r="451" ht="12.75">
      <c r="G451" s="14"/>
    </row>
    <row r="452" ht="12.75">
      <c r="G452" s="14"/>
    </row>
    <row r="453" ht="12.75">
      <c r="G453" s="14"/>
    </row>
    <row r="454" ht="12.75">
      <c r="G454" s="14"/>
    </row>
    <row r="455" ht="12.75">
      <c r="G455" s="14"/>
    </row>
    <row r="456" ht="12.75">
      <c r="G456" s="14"/>
    </row>
    <row r="457" ht="12.75">
      <c r="G457" s="14"/>
    </row>
    <row r="458" ht="12.75">
      <c r="G458" s="14"/>
    </row>
    <row r="459" ht="12.75">
      <c r="G459" s="14"/>
    </row>
    <row r="460" ht="12.75">
      <c r="G460" s="14"/>
    </row>
    <row r="461" ht="12.75">
      <c r="G461" s="14"/>
    </row>
    <row r="462" ht="12.75">
      <c r="G462" s="14"/>
    </row>
    <row r="463" ht="12.75">
      <c r="G463" s="14"/>
    </row>
    <row r="464" ht="12.75">
      <c r="G464" s="14"/>
    </row>
    <row r="465" ht="12.75">
      <c r="G465" s="14"/>
    </row>
    <row r="466" ht="12.75">
      <c r="G466" s="14"/>
    </row>
    <row r="467" ht="12.75">
      <c r="G467" s="14"/>
    </row>
    <row r="468" ht="12.75">
      <c r="G468" s="14"/>
    </row>
    <row r="469" ht="12.75">
      <c r="G469" s="14"/>
    </row>
    <row r="470" ht="12.75">
      <c r="G470" s="14"/>
    </row>
    <row r="471" ht="12.75">
      <c r="G471" s="14"/>
    </row>
    <row r="472" ht="12.75">
      <c r="G472" s="14"/>
    </row>
    <row r="473" ht="12.75">
      <c r="G473" s="14"/>
    </row>
    <row r="474" ht="12.75">
      <c r="G474" s="14"/>
    </row>
    <row r="475" ht="12.75">
      <c r="G475" s="14"/>
    </row>
    <row r="476" ht="12.75">
      <c r="G476" s="14"/>
    </row>
    <row r="477" ht="12.75">
      <c r="G477" s="14"/>
    </row>
    <row r="478" ht="12.75">
      <c r="G478" s="14"/>
    </row>
    <row r="479" ht="12.75">
      <c r="G479" s="14"/>
    </row>
    <row r="480" ht="12.75">
      <c r="G480" s="14"/>
    </row>
    <row r="481" ht="12.75">
      <c r="G481" s="14"/>
    </row>
    <row r="482" ht="12.75">
      <c r="G482" s="14"/>
    </row>
    <row r="483" ht="12.75">
      <c r="G483" s="14"/>
    </row>
    <row r="484" ht="12.75">
      <c r="G484" s="14"/>
    </row>
    <row r="485" ht="12.75">
      <c r="G485" s="14"/>
    </row>
    <row r="486" ht="12.75">
      <c r="G486" s="14"/>
    </row>
    <row r="487" ht="12.75">
      <c r="G487" s="14"/>
    </row>
    <row r="488" ht="12.75">
      <c r="G488" s="14"/>
    </row>
    <row r="489" ht="12.75">
      <c r="G489" s="14"/>
    </row>
    <row r="490" ht="12.75">
      <c r="G490" s="14"/>
    </row>
    <row r="491" ht="12.75">
      <c r="G491" s="14"/>
    </row>
    <row r="492" ht="12.75">
      <c r="G492" s="14"/>
    </row>
    <row r="493" ht="12.75">
      <c r="G493" s="14"/>
    </row>
    <row r="494" ht="12.75">
      <c r="G494" s="14"/>
    </row>
    <row r="495" ht="12.75">
      <c r="G495" s="14"/>
    </row>
    <row r="496" ht="12.75">
      <c r="G496" s="14"/>
    </row>
    <row r="497" ht="12.75">
      <c r="G497" s="14"/>
    </row>
    <row r="498" ht="12.75">
      <c r="G498" s="14"/>
    </row>
    <row r="499" ht="12.75">
      <c r="G499" s="14"/>
    </row>
    <row r="500" ht="12.75">
      <c r="G500" s="14"/>
    </row>
    <row r="501" ht="12.75">
      <c r="G501" s="14"/>
    </row>
    <row r="502" ht="12.75">
      <c r="G502" s="14"/>
    </row>
    <row r="503" ht="12.75">
      <c r="G503" s="14"/>
    </row>
    <row r="504" ht="12.75">
      <c r="G504" s="14"/>
    </row>
    <row r="505" ht="12.75">
      <c r="G505" s="14"/>
    </row>
    <row r="506" ht="12.75">
      <c r="G506" s="14"/>
    </row>
    <row r="507" ht="12.75">
      <c r="G507" s="14"/>
    </row>
    <row r="508" ht="12.75">
      <c r="G508" s="14"/>
    </row>
    <row r="509" ht="12.75">
      <c r="G509" s="14"/>
    </row>
    <row r="510" ht="12.75">
      <c r="G510" s="14"/>
    </row>
    <row r="511" ht="12.75">
      <c r="G511" s="14"/>
    </row>
    <row r="512" ht="12.75">
      <c r="G512" s="14"/>
    </row>
    <row r="513" ht="12.75">
      <c r="G513" s="14"/>
    </row>
    <row r="514" ht="12.75">
      <c r="G514" s="14"/>
    </row>
    <row r="515" ht="12.75">
      <c r="G515" s="14"/>
    </row>
    <row r="516" ht="12.75">
      <c r="G516" s="14"/>
    </row>
    <row r="517" ht="12.75">
      <c r="G517" s="14"/>
    </row>
    <row r="518" ht="12.75">
      <c r="G518" s="14"/>
    </row>
    <row r="519" ht="12.75">
      <c r="G519" s="14"/>
    </row>
    <row r="520" ht="12.75">
      <c r="G520" s="14"/>
    </row>
    <row r="521" ht="12.75">
      <c r="G521" s="14"/>
    </row>
    <row r="522" ht="12.75">
      <c r="G522" s="14"/>
    </row>
    <row r="523" ht="12.75">
      <c r="G523" s="14"/>
    </row>
    <row r="524" ht="12.75">
      <c r="G524" s="14"/>
    </row>
    <row r="525" ht="12.75">
      <c r="G525" s="14"/>
    </row>
    <row r="526" ht="12.75">
      <c r="G526" s="14"/>
    </row>
    <row r="527" ht="12.75">
      <c r="G527" s="14"/>
    </row>
    <row r="528" ht="12.75">
      <c r="G528" s="14"/>
    </row>
    <row r="529" ht="12.75">
      <c r="G529" s="14"/>
    </row>
    <row r="530" ht="12.75">
      <c r="G530" s="14"/>
    </row>
    <row r="531" ht="12.75">
      <c r="G531" s="14"/>
    </row>
    <row r="532" ht="12.75">
      <c r="G532" s="14"/>
    </row>
    <row r="533" ht="12.75">
      <c r="G533" s="14"/>
    </row>
    <row r="534" ht="12.75">
      <c r="G534" s="14"/>
    </row>
    <row r="535" ht="12.75">
      <c r="G535" s="14"/>
    </row>
    <row r="536" ht="12.75">
      <c r="G536" s="14"/>
    </row>
    <row r="537" ht="12.75">
      <c r="G537" s="14"/>
    </row>
    <row r="538" ht="12.75">
      <c r="G538" s="14"/>
    </row>
    <row r="539" ht="12.75">
      <c r="G539" s="14"/>
    </row>
    <row r="540" ht="12.75">
      <c r="G540" s="14"/>
    </row>
    <row r="541" ht="12.75">
      <c r="G541" s="14"/>
    </row>
    <row r="542" ht="12.75">
      <c r="G542" s="14"/>
    </row>
    <row r="543" ht="12.75">
      <c r="G543" s="14"/>
    </row>
    <row r="544" ht="12.75">
      <c r="G544" s="14"/>
    </row>
    <row r="545" ht="12.75">
      <c r="G545" s="14"/>
    </row>
    <row r="546" ht="12.75">
      <c r="G546" s="14"/>
    </row>
    <row r="547" ht="12.75">
      <c r="G547" s="14"/>
    </row>
    <row r="548" ht="12.75">
      <c r="G548" s="14"/>
    </row>
    <row r="549" ht="12.75">
      <c r="G549" s="14"/>
    </row>
    <row r="550" ht="12.75">
      <c r="G550" s="14"/>
    </row>
    <row r="551" ht="12.75">
      <c r="G551" s="14"/>
    </row>
    <row r="552" ht="12.75">
      <c r="G552" s="14"/>
    </row>
    <row r="553" ht="12.75">
      <c r="G553" s="14"/>
    </row>
    <row r="554" ht="12.75">
      <c r="G554" s="14"/>
    </row>
    <row r="555" ht="12.75">
      <c r="G555" s="14"/>
    </row>
    <row r="556" ht="12.75">
      <c r="G556" s="14"/>
    </row>
    <row r="557" ht="12.75">
      <c r="G557" s="14"/>
    </row>
    <row r="558" ht="12.75">
      <c r="G558" s="14"/>
    </row>
    <row r="559" ht="12.75">
      <c r="G559" s="14"/>
    </row>
    <row r="560" ht="12.75">
      <c r="G560" s="14"/>
    </row>
    <row r="561" ht="12.75">
      <c r="G561" s="14"/>
    </row>
    <row r="562" ht="12.75">
      <c r="G562" s="14"/>
    </row>
    <row r="563" ht="12.75">
      <c r="G563" s="14"/>
    </row>
    <row r="564" ht="12.75">
      <c r="G564" s="14"/>
    </row>
    <row r="565" ht="12.75">
      <c r="G565" s="14"/>
    </row>
    <row r="566" ht="12.75">
      <c r="G566" s="14"/>
    </row>
    <row r="567" ht="12.75">
      <c r="G567" s="14"/>
    </row>
    <row r="568" ht="12.75">
      <c r="G568" s="14"/>
    </row>
    <row r="569" ht="12.75">
      <c r="G569" s="14"/>
    </row>
    <row r="570" ht="12.75">
      <c r="G570" s="14"/>
    </row>
    <row r="571" ht="12.75">
      <c r="G571" s="14"/>
    </row>
    <row r="572" ht="12.75">
      <c r="G572" s="14"/>
    </row>
    <row r="573" ht="12.75">
      <c r="G573" s="14"/>
    </row>
    <row r="574" ht="12.75">
      <c r="G574" s="14"/>
    </row>
    <row r="575" ht="12.75">
      <c r="G575" s="14"/>
    </row>
    <row r="576" ht="12.75">
      <c r="G576" s="14"/>
    </row>
    <row r="577" ht="12.75">
      <c r="G577" s="14"/>
    </row>
    <row r="578" ht="12.75">
      <c r="G578" s="14"/>
    </row>
    <row r="579" ht="12.75">
      <c r="G579" s="14"/>
    </row>
    <row r="580" ht="12.75">
      <c r="G580" s="14"/>
    </row>
    <row r="581" ht="12.75">
      <c r="G581" s="14"/>
    </row>
    <row r="582" ht="12.75">
      <c r="G582" s="14"/>
    </row>
    <row r="583" ht="12.75">
      <c r="G583" s="14"/>
    </row>
    <row r="584" ht="12.75">
      <c r="G584" s="14"/>
    </row>
    <row r="585" ht="12.75">
      <c r="G585" s="14"/>
    </row>
    <row r="586" ht="12.75">
      <c r="G586" s="14"/>
    </row>
    <row r="587" ht="12.75">
      <c r="G587" s="14"/>
    </row>
    <row r="588" ht="12.75">
      <c r="G588" s="14"/>
    </row>
    <row r="589" ht="12.75">
      <c r="G589" s="14"/>
    </row>
    <row r="590" ht="12.75">
      <c r="G590" s="14"/>
    </row>
    <row r="591" ht="12.75">
      <c r="G591" s="14"/>
    </row>
    <row r="592" ht="12.75">
      <c r="G592" s="14"/>
    </row>
    <row r="593" ht="12.75">
      <c r="G593" s="14"/>
    </row>
    <row r="594" ht="12.75">
      <c r="G594" s="14"/>
    </row>
    <row r="595" ht="12.75">
      <c r="G595" s="14"/>
    </row>
    <row r="596" ht="12.75">
      <c r="G596" s="14"/>
    </row>
    <row r="597" ht="12.75">
      <c r="G597" s="14"/>
    </row>
    <row r="598" ht="12.75">
      <c r="G598" s="14"/>
    </row>
    <row r="599" ht="12.75">
      <c r="G599" s="14"/>
    </row>
    <row r="600" ht="12.75">
      <c r="G600" s="14"/>
    </row>
    <row r="601" ht="12.75">
      <c r="G601" s="14"/>
    </row>
    <row r="602" ht="12.75">
      <c r="G602" s="14"/>
    </row>
    <row r="603" ht="12.75">
      <c r="G603" s="14"/>
    </row>
    <row r="604" ht="12.75">
      <c r="G604" s="14"/>
    </row>
    <row r="605" ht="12.75">
      <c r="G605" s="14"/>
    </row>
    <row r="606" ht="12.75">
      <c r="G606" s="14"/>
    </row>
    <row r="607" ht="12.75">
      <c r="G607" s="14"/>
    </row>
    <row r="608" ht="12.75">
      <c r="G608" s="14"/>
    </row>
    <row r="609" ht="12.75">
      <c r="G609" s="14"/>
    </row>
    <row r="610" ht="12.75">
      <c r="G610" s="14"/>
    </row>
    <row r="611" ht="12.75">
      <c r="G611" s="14"/>
    </row>
    <row r="612" ht="12.75">
      <c r="G612" s="14"/>
    </row>
    <row r="613" ht="12.75">
      <c r="G613" s="14"/>
    </row>
    <row r="614" ht="12.75">
      <c r="G614" s="14"/>
    </row>
    <row r="615" ht="12.75">
      <c r="G615" s="14"/>
    </row>
    <row r="616" ht="12.75">
      <c r="G616" s="14"/>
    </row>
    <row r="617" ht="12.75">
      <c r="G617" s="14"/>
    </row>
    <row r="618" ht="12.75">
      <c r="G618" s="14"/>
    </row>
    <row r="619" ht="12.75">
      <c r="G619" s="14"/>
    </row>
    <row r="620" ht="12.75">
      <c r="G620" s="14"/>
    </row>
    <row r="621" ht="12.75">
      <c r="G621" s="14"/>
    </row>
    <row r="622" ht="12.75">
      <c r="G622" s="14"/>
    </row>
    <row r="623" ht="12.75">
      <c r="G623" s="14"/>
    </row>
    <row r="624" ht="12.75">
      <c r="G624" s="14"/>
    </row>
    <row r="625" ht="12.75">
      <c r="G625" s="14"/>
    </row>
    <row r="626" ht="12.75">
      <c r="G626" s="14"/>
    </row>
    <row r="627" ht="12.75">
      <c r="G627" s="14"/>
    </row>
    <row r="628" ht="12.75">
      <c r="G628" s="14"/>
    </row>
    <row r="629" ht="12.75">
      <c r="G629" s="14"/>
    </row>
    <row r="630" ht="12.75">
      <c r="G630" s="14"/>
    </row>
    <row r="631" ht="12.75">
      <c r="G631" s="14"/>
    </row>
    <row r="632" ht="12.75">
      <c r="G632" s="14"/>
    </row>
    <row r="633" ht="12.75">
      <c r="G633" s="14"/>
    </row>
    <row r="634" ht="12.75">
      <c r="G634" s="14"/>
    </row>
    <row r="635" ht="12.75">
      <c r="G635" s="14"/>
    </row>
    <row r="636" ht="12.75">
      <c r="G636" s="14"/>
    </row>
    <row r="637" ht="12.75">
      <c r="G637" s="14"/>
    </row>
    <row r="638" ht="12.75">
      <c r="G638" s="14"/>
    </row>
    <row r="639" ht="12.75">
      <c r="G639" s="14"/>
    </row>
    <row r="640" ht="12.75">
      <c r="G640" s="14"/>
    </row>
    <row r="641" ht="12.75">
      <c r="G641" s="14"/>
    </row>
    <row r="642" ht="12.75">
      <c r="G642" s="14"/>
    </row>
    <row r="643" ht="12.75">
      <c r="G643" s="14"/>
    </row>
    <row r="644" ht="12.75">
      <c r="G644" s="14"/>
    </row>
    <row r="645" ht="12.75">
      <c r="G645" s="14"/>
    </row>
    <row r="646" ht="12.75">
      <c r="G646" s="14"/>
    </row>
    <row r="647" ht="12.75">
      <c r="G647" s="14"/>
    </row>
    <row r="648" ht="12.75">
      <c r="G648" s="14"/>
    </row>
    <row r="649" ht="12.75">
      <c r="G649" s="14"/>
    </row>
    <row r="650" ht="12.75">
      <c r="G650" s="14"/>
    </row>
    <row r="651" ht="12.75">
      <c r="G651" s="14"/>
    </row>
    <row r="652" ht="12.75">
      <c r="G652" s="14"/>
    </row>
    <row r="653" ht="12.75">
      <c r="G653" s="14"/>
    </row>
    <row r="654" ht="12.75">
      <c r="G654" s="14"/>
    </row>
    <row r="655" ht="12.75">
      <c r="G655" s="14"/>
    </row>
    <row r="656" ht="12.75">
      <c r="G656" s="14"/>
    </row>
    <row r="657" ht="12.75">
      <c r="G657" s="14"/>
    </row>
    <row r="658" ht="12.75">
      <c r="G658" s="14"/>
    </row>
    <row r="659" ht="12.75">
      <c r="G659" s="14"/>
    </row>
    <row r="660" ht="12.75">
      <c r="G660" s="14"/>
    </row>
    <row r="661" ht="12.75">
      <c r="G661" s="14"/>
    </row>
    <row r="662" ht="12.75">
      <c r="G662" s="14"/>
    </row>
    <row r="663" ht="12.75">
      <c r="G663" s="14"/>
    </row>
    <row r="664" ht="12.75">
      <c r="G664" s="14"/>
    </row>
    <row r="665" ht="12.75">
      <c r="G665" s="14"/>
    </row>
    <row r="666" ht="12.75">
      <c r="G666" s="14"/>
    </row>
    <row r="667" ht="12.75">
      <c r="G667" s="14"/>
    </row>
    <row r="668" ht="12.75">
      <c r="G668" s="14"/>
    </row>
    <row r="669" ht="12.75">
      <c r="G669" s="14"/>
    </row>
    <row r="670" ht="12.75">
      <c r="G670" s="14"/>
    </row>
    <row r="671" ht="12.75">
      <c r="G671" s="14"/>
    </row>
    <row r="672" ht="12.75">
      <c r="G672" s="14"/>
    </row>
    <row r="673" ht="12.75">
      <c r="G673" s="14"/>
    </row>
    <row r="674" ht="12.75">
      <c r="G674" s="14"/>
    </row>
    <row r="675" ht="12.75">
      <c r="G675" s="14"/>
    </row>
    <row r="676" ht="12.75">
      <c r="G676" s="14"/>
    </row>
    <row r="677" ht="12.75">
      <c r="G677" s="14"/>
    </row>
    <row r="678" ht="12.75">
      <c r="G678" s="14"/>
    </row>
    <row r="679" ht="12.75">
      <c r="G679" s="14"/>
    </row>
    <row r="680" ht="12.75">
      <c r="G680" s="14"/>
    </row>
    <row r="681" ht="12.75">
      <c r="G681" s="14"/>
    </row>
    <row r="682" ht="12.75">
      <c r="G682" s="14"/>
    </row>
    <row r="683" ht="12.75">
      <c r="G683" s="14"/>
    </row>
    <row r="684" ht="12.75">
      <c r="G684" s="14"/>
    </row>
    <row r="685" ht="12.75">
      <c r="G685" s="14"/>
    </row>
    <row r="686" ht="12.75">
      <c r="G686" s="14"/>
    </row>
    <row r="687" ht="12.75">
      <c r="G687" s="14"/>
    </row>
    <row r="688" ht="12.75">
      <c r="G688" s="14"/>
    </row>
    <row r="689" ht="12.75">
      <c r="G689" s="14"/>
    </row>
    <row r="690" ht="12.75">
      <c r="G690" s="14"/>
    </row>
    <row r="691" ht="12.75">
      <c r="G691" s="14"/>
    </row>
    <row r="692" ht="12.75">
      <c r="G692" s="14"/>
    </row>
    <row r="693" ht="12.75">
      <c r="G693" s="14"/>
    </row>
    <row r="694" ht="12.75">
      <c r="G694" s="14"/>
    </row>
    <row r="695" ht="12.75">
      <c r="G695" s="14"/>
    </row>
    <row r="696" ht="12.75">
      <c r="G696" s="14"/>
    </row>
    <row r="697" ht="12.75">
      <c r="G697" s="14"/>
    </row>
    <row r="698" ht="12.75">
      <c r="G698" s="14"/>
    </row>
    <row r="699" ht="12.75">
      <c r="G699" s="14"/>
    </row>
    <row r="700" ht="12.75">
      <c r="G700" s="14"/>
    </row>
    <row r="701" ht="12.75">
      <c r="G701" s="14"/>
    </row>
    <row r="702" ht="12.75">
      <c r="G702" s="14"/>
    </row>
    <row r="703" ht="12.75">
      <c r="G703" s="14"/>
    </row>
    <row r="704" ht="12.75">
      <c r="G704" s="14"/>
    </row>
    <row r="705" ht="12.75">
      <c r="G705" s="14"/>
    </row>
    <row r="706" ht="12.75">
      <c r="G706" s="14"/>
    </row>
    <row r="707" ht="12.75">
      <c r="G707" s="14"/>
    </row>
    <row r="708" ht="12.75">
      <c r="G708" s="14"/>
    </row>
    <row r="709" ht="12.75">
      <c r="G709" s="14"/>
    </row>
    <row r="710" ht="12.75">
      <c r="G710" s="14"/>
    </row>
    <row r="711" ht="12.75">
      <c r="G711" s="14"/>
    </row>
    <row r="712" ht="12.75">
      <c r="G712" s="14"/>
    </row>
    <row r="713" ht="12.75">
      <c r="G713" s="14"/>
    </row>
    <row r="714" ht="12.75">
      <c r="G714" s="14"/>
    </row>
    <row r="715" ht="12.75">
      <c r="G715" s="14"/>
    </row>
    <row r="716" ht="12.75">
      <c r="G716" s="14"/>
    </row>
    <row r="717" ht="12.75">
      <c r="G717" s="14"/>
    </row>
    <row r="718" ht="12.75">
      <c r="G718" s="14"/>
    </row>
    <row r="719" ht="12.75">
      <c r="G719" s="14"/>
    </row>
    <row r="720" ht="12.75">
      <c r="G720" s="14"/>
    </row>
    <row r="721" ht="12.75">
      <c r="G721" s="14"/>
    </row>
    <row r="722" ht="12.75">
      <c r="G722" s="14"/>
    </row>
    <row r="723" ht="12.75">
      <c r="G723" s="14"/>
    </row>
    <row r="724" ht="12.75">
      <c r="G724" s="14"/>
    </row>
    <row r="725" ht="12.75">
      <c r="G725" s="14"/>
    </row>
    <row r="726" ht="12.75">
      <c r="G726" s="14"/>
    </row>
    <row r="727" ht="12.75">
      <c r="G727" s="14"/>
    </row>
    <row r="728" ht="12.75">
      <c r="G728" s="14"/>
    </row>
    <row r="729" ht="12.75">
      <c r="G729" s="14"/>
    </row>
    <row r="730" ht="12.75">
      <c r="G730" s="14"/>
    </row>
    <row r="731" ht="12.75">
      <c r="G731" s="14"/>
    </row>
    <row r="732" ht="12.75">
      <c r="G732" s="14"/>
    </row>
    <row r="733" ht="12.75">
      <c r="G733" s="14"/>
    </row>
    <row r="734" ht="12.75">
      <c r="G734" s="14"/>
    </row>
    <row r="735" ht="12.75">
      <c r="G735" s="14"/>
    </row>
    <row r="736" ht="12.75">
      <c r="G736" s="14"/>
    </row>
    <row r="737" ht="12.75">
      <c r="G737" s="14"/>
    </row>
    <row r="738" ht="12.75">
      <c r="G738" s="14"/>
    </row>
    <row r="739" ht="12.75">
      <c r="G739" s="14"/>
    </row>
    <row r="740" ht="12.75">
      <c r="G740" s="14"/>
    </row>
    <row r="741" ht="12.75">
      <c r="G741" s="14"/>
    </row>
    <row r="742" ht="12.75">
      <c r="G742" s="14"/>
    </row>
    <row r="743" ht="12.75">
      <c r="G743" s="14"/>
    </row>
    <row r="744" ht="12.75">
      <c r="G744" s="14"/>
    </row>
    <row r="745" ht="12.75">
      <c r="G745" s="14"/>
    </row>
    <row r="746" ht="12.75">
      <c r="G746" s="14"/>
    </row>
    <row r="747" ht="12.75">
      <c r="G747" s="14"/>
    </row>
    <row r="748" ht="12.75">
      <c r="G748" s="14"/>
    </row>
    <row r="749" ht="12.75">
      <c r="G749" s="14"/>
    </row>
    <row r="750" ht="12.75">
      <c r="G750" s="14"/>
    </row>
    <row r="751" ht="12.75">
      <c r="G751" s="14"/>
    </row>
    <row r="752" ht="12.75">
      <c r="G752" s="14"/>
    </row>
    <row r="753" ht="12.75">
      <c r="G753" s="14"/>
    </row>
    <row r="754" ht="12.75">
      <c r="G754" s="14"/>
    </row>
    <row r="755" ht="12.75">
      <c r="G755" s="14"/>
    </row>
    <row r="756" ht="12.75">
      <c r="G756" s="14"/>
    </row>
    <row r="757" ht="12.75">
      <c r="G757" s="14"/>
    </row>
    <row r="758" ht="12.75">
      <c r="G758" s="14"/>
    </row>
    <row r="759" ht="12.75">
      <c r="G759" s="14"/>
    </row>
    <row r="760" ht="12.75">
      <c r="G760" s="14"/>
    </row>
    <row r="761" ht="12.75">
      <c r="G761" s="14"/>
    </row>
    <row r="762" ht="12.75">
      <c r="G762" s="14"/>
    </row>
    <row r="763" ht="12.75">
      <c r="G763" s="14"/>
    </row>
    <row r="764" ht="12.75">
      <c r="G764" s="14"/>
    </row>
    <row r="765" ht="12.75">
      <c r="G765" s="14"/>
    </row>
    <row r="766" ht="12.75">
      <c r="G766" s="14"/>
    </row>
    <row r="767" ht="12.75">
      <c r="G767" s="14"/>
    </row>
    <row r="768" ht="12.75">
      <c r="G768" s="14"/>
    </row>
    <row r="769" ht="12.75">
      <c r="G769" s="14"/>
    </row>
    <row r="770" ht="12.75">
      <c r="G770" s="14"/>
    </row>
    <row r="771" ht="12.75">
      <c r="G771" s="14"/>
    </row>
    <row r="772" ht="12.75">
      <c r="G772" s="14"/>
    </row>
    <row r="773" ht="12.75">
      <c r="G773" s="14"/>
    </row>
    <row r="774" ht="12.75">
      <c r="G774" s="14"/>
    </row>
    <row r="775" ht="12.75">
      <c r="G775" s="14"/>
    </row>
    <row r="776" ht="12.75">
      <c r="G776" s="14"/>
    </row>
    <row r="777" ht="12.75">
      <c r="G777" s="14"/>
    </row>
    <row r="778" ht="12.75">
      <c r="G778" s="14"/>
    </row>
    <row r="779" ht="12.75">
      <c r="G779" s="14"/>
    </row>
    <row r="780" ht="12.75">
      <c r="G780" s="14"/>
    </row>
    <row r="781" ht="12.75">
      <c r="G781" s="14"/>
    </row>
    <row r="782" ht="12.75">
      <c r="G782" s="14"/>
    </row>
    <row r="783" ht="12.75">
      <c r="G783" s="14"/>
    </row>
    <row r="784" ht="12.75">
      <c r="G784" s="14"/>
    </row>
    <row r="785" ht="12.75">
      <c r="G785" s="14"/>
    </row>
    <row r="786" ht="12.75">
      <c r="G786" s="14"/>
    </row>
    <row r="787" ht="12.75">
      <c r="G787" s="14"/>
    </row>
    <row r="788" ht="12.75">
      <c r="G788" s="14"/>
    </row>
    <row r="789" ht="12.75">
      <c r="G789" s="14"/>
    </row>
    <row r="790" ht="12.75">
      <c r="G790" s="14"/>
    </row>
    <row r="791" ht="12.75">
      <c r="G791" s="14"/>
    </row>
    <row r="792" ht="12.75">
      <c r="G792" s="14"/>
    </row>
    <row r="793" ht="12.75">
      <c r="G793" s="14"/>
    </row>
    <row r="794" ht="12.75">
      <c r="G794" s="14"/>
    </row>
    <row r="795" ht="12.75">
      <c r="G795" s="14"/>
    </row>
    <row r="796" ht="12.75">
      <c r="G796" s="14"/>
    </row>
    <row r="797" ht="12.75">
      <c r="G797" s="14"/>
    </row>
    <row r="798" ht="12.75">
      <c r="G798" s="14"/>
    </row>
    <row r="799" ht="12.75">
      <c r="G799" s="14"/>
    </row>
    <row r="800" ht="12.75">
      <c r="G800" s="14"/>
    </row>
    <row r="801" ht="12.75">
      <c r="G801" s="14"/>
    </row>
    <row r="802" ht="12.75">
      <c r="G802" s="14"/>
    </row>
    <row r="803" ht="12.75">
      <c r="G803" s="14"/>
    </row>
    <row r="804" ht="12.75">
      <c r="G804" s="14"/>
    </row>
    <row r="805" ht="12.75">
      <c r="G805" s="14"/>
    </row>
    <row r="806" ht="12.75">
      <c r="G806" s="14"/>
    </row>
    <row r="807" ht="12.75">
      <c r="G807" s="14"/>
    </row>
    <row r="808" ht="12.75">
      <c r="G808" s="14"/>
    </row>
    <row r="809" ht="12.75">
      <c r="G809" s="14"/>
    </row>
    <row r="810" ht="12.75">
      <c r="G810" s="14"/>
    </row>
    <row r="811" ht="12.75">
      <c r="G811" s="14"/>
    </row>
    <row r="812" ht="12.75">
      <c r="G812" s="14"/>
    </row>
    <row r="813" ht="12.75">
      <c r="G813" s="14"/>
    </row>
    <row r="814" ht="12.75">
      <c r="G814" s="14"/>
    </row>
    <row r="815" ht="12.75">
      <c r="G815" s="14"/>
    </row>
    <row r="816" ht="12.75">
      <c r="G816" s="14"/>
    </row>
    <row r="817" ht="12.75">
      <c r="G817" s="14"/>
    </row>
    <row r="818" ht="12.75">
      <c r="G818" s="14"/>
    </row>
    <row r="819" ht="12.75">
      <c r="G819" s="14"/>
    </row>
    <row r="820" ht="12.75">
      <c r="G820" s="14"/>
    </row>
    <row r="821" ht="12.75">
      <c r="G821" s="14"/>
    </row>
    <row r="822" ht="12.75">
      <c r="G822" s="14"/>
    </row>
    <row r="823" ht="12.75">
      <c r="G823" s="14"/>
    </row>
    <row r="824" ht="12.75">
      <c r="G824" s="14"/>
    </row>
    <row r="825" ht="12.75">
      <c r="G825" s="14"/>
    </row>
    <row r="826" ht="12.75">
      <c r="G826" s="14"/>
    </row>
    <row r="827" ht="12.75">
      <c r="G827" s="14"/>
    </row>
    <row r="828" ht="12.75">
      <c r="G828" s="14"/>
    </row>
    <row r="829" ht="12.75">
      <c r="G829" s="14"/>
    </row>
    <row r="830" ht="12.75">
      <c r="G830" s="14"/>
    </row>
    <row r="831" ht="12.75">
      <c r="G831" s="14"/>
    </row>
    <row r="832" ht="12.75">
      <c r="G832" s="14"/>
    </row>
    <row r="833" ht="12.75">
      <c r="G833" s="14"/>
    </row>
    <row r="834" ht="12.75">
      <c r="G834" s="14"/>
    </row>
    <row r="835" ht="12.75">
      <c r="G835" s="14"/>
    </row>
    <row r="836" ht="12.75">
      <c r="G836" s="14"/>
    </row>
    <row r="837" ht="12.75">
      <c r="G837" s="14"/>
    </row>
    <row r="838" ht="12.75">
      <c r="G838" s="14"/>
    </row>
    <row r="839" ht="12.75">
      <c r="G839" s="14"/>
    </row>
    <row r="840" ht="12.75">
      <c r="G840" s="14"/>
    </row>
    <row r="841" ht="12.75">
      <c r="G841" s="14"/>
    </row>
    <row r="842" ht="12.75">
      <c r="G842" s="14"/>
    </row>
    <row r="843" ht="12.75">
      <c r="G843" s="14"/>
    </row>
    <row r="844" ht="12.75">
      <c r="G844" s="14"/>
    </row>
    <row r="845" ht="12.75">
      <c r="G845" s="14"/>
    </row>
    <row r="846" ht="12.75">
      <c r="G846" s="14"/>
    </row>
    <row r="847" ht="12.75">
      <c r="G847" s="14"/>
    </row>
    <row r="848" ht="12.75">
      <c r="G848" s="14"/>
    </row>
    <row r="849" ht="12.75">
      <c r="G849" s="14"/>
    </row>
    <row r="850" ht="12.75">
      <c r="G850" s="14"/>
    </row>
    <row r="851" ht="12.75">
      <c r="G851" s="14"/>
    </row>
    <row r="852" ht="12.75">
      <c r="G852" s="14"/>
    </row>
    <row r="853" ht="12.75">
      <c r="G853" s="14"/>
    </row>
    <row r="854" ht="12.75">
      <c r="G854" s="14"/>
    </row>
    <row r="855" ht="12.75">
      <c r="G855" s="14"/>
    </row>
    <row r="856" ht="12.75">
      <c r="G856" s="14"/>
    </row>
    <row r="857" ht="12.75">
      <c r="G857" s="14"/>
    </row>
    <row r="858" ht="12.75">
      <c r="G858" s="14"/>
    </row>
    <row r="859" ht="12.75">
      <c r="G859" s="14"/>
    </row>
    <row r="860" ht="12.75">
      <c r="G860" s="14"/>
    </row>
    <row r="861" ht="12.75">
      <c r="G861" s="14"/>
    </row>
    <row r="862" ht="12.75">
      <c r="G862" s="14"/>
    </row>
    <row r="863" ht="12.75">
      <c r="G863" s="14"/>
    </row>
    <row r="864" ht="12.75">
      <c r="G864" s="14"/>
    </row>
    <row r="865" ht="12.75">
      <c r="G865" s="14"/>
    </row>
    <row r="866" ht="12.75">
      <c r="G866" s="14"/>
    </row>
    <row r="867" ht="12.75">
      <c r="G867" s="14"/>
    </row>
    <row r="868" ht="12.75">
      <c r="G868" s="14"/>
    </row>
    <row r="869" ht="12.75">
      <c r="G869" s="14"/>
    </row>
    <row r="870" ht="12.75">
      <c r="G870" s="14"/>
    </row>
    <row r="871" ht="12.75">
      <c r="G871" s="14"/>
    </row>
    <row r="872" ht="12.75">
      <c r="G872" s="14"/>
    </row>
    <row r="873" ht="12.75">
      <c r="G873" s="14"/>
    </row>
    <row r="874" ht="12.75">
      <c r="G874" s="14"/>
    </row>
    <row r="875" ht="12.75">
      <c r="G875" s="14"/>
    </row>
    <row r="876" ht="12.75">
      <c r="G876" s="14"/>
    </row>
    <row r="877" ht="12.75">
      <c r="G877" s="14"/>
    </row>
    <row r="878" ht="12.75">
      <c r="G878" s="14"/>
    </row>
    <row r="879" ht="12.75">
      <c r="G879" s="14"/>
    </row>
    <row r="880" ht="12.75">
      <c r="G880" s="14"/>
    </row>
    <row r="881" ht="12.75">
      <c r="G881" s="14"/>
    </row>
    <row r="882" ht="12.75">
      <c r="G882" s="14"/>
    </row>
    <row r="883" ht="12.75">
      <c r="G883" s="14"/>
    </row>
    <row r="884" ht="12.75">
      <c r="G884" s="14"/>
    </row>
    <row r="885" ht="12.75">
      <c r="G885" s="14"/>
    </row>
    <row r="886" ht="12.75">
      <c r="G886" s="14"/>
    </row>
    <row r="887" ht="12.75">
      <c r="G887" s="14"/>
    </row>
    <row r="888" ht="12.75">
      <c r="G888" s="14"/>
    </row>
    <row r="889" ht="12.75">
      <c r="G889" s="14"/>
    </row>
    <row r="890" ht="12.75">
      <c r="G890" s="14"/>
    </row>
    <row r="891" ht="12.75">
      <c r="G891" s="14"/>
    </row>
    <row r="892" ht="12.75">
      <c r="G892" s="14"/>
    </row>
    <row r="893" ht="12.75">
      <c r="G893" s="14"/>
    </row>
    <row r="894" ht="12.75">
      <c r="G894" s="14"/>
    </row>
    <row r="895" ht="12.75">
      <c r="G895" s="14"/>
    </row>
    <row r="896" ht="12.75">
      <c r="G896" s="14"/>
    </row>
    <row r="897" ht="12.75">
      <c r="G897" s="14"/>
    </row>
    <row r="898" ht="12.75">
      <c r="G898" s="14"/>
    </row>
    <row r="899" ht="12.75">
      <c r="G899" s="14"/>
    </row>
    <row r="900" ht="12.75">
      <c r="G900" s="14"/>
    </row>
    <row r="901" ht="12.75">
      <c r="G901" s="14"/>
    </row>
    <row r="902" ht="12.75">
      <c r="G902" s="14"/>
    </row>
    <row r="903" ht="12.75">
      <c r="G903" s="14"/>
    </row>
    <row r="904" ht="12.75">
      <c r="G904" s="14"/>
    </row>
    <row r="905" ht="12.75">
      <c r="G905" s="14"/>
    </row>
    <row r="906" ht="12.75">
      <c r="G906" s="14"/>
    </row>
    <row r="907" ht="12.75">
      <c r="G907" s="14"/>
    </row>
    <row r="908" ht="12.75">
      <c r="G908" s="14"/>
    </row>
    <row r="909" ht="12.75">
      <c r="G909" s="14"/>
    </row>
    <row r="910" ht="12.75">
      <c r="G910" s="14"/>
    </row>
    <row r="911" ht="12.75">
      <c r="G911" s="14"/>
    </row>
    <row r="912" ht="12.75">
      <c r="G912" s="14"/>
    </row>
    <row r="913" ht="12.75">
      <c r="G913" s="14"/>
    </row>
    <row r="914" ht="12.75">
      <c r="G914" s="14"/>
    </row>
    <row r="915" ht="12.75">
      <c r="G915" s="14"/>
    </row>
    <row r="916" ht="12.75">
      <c r="G916" s="14"/>
    </row>
    <row r="917" ht="12.75">
      <c r="G917" s="14"/>
    </row>
    <row r="918" ht="12.75">
      <c r="G918" s="14"/>
    </row>
    <row r="919" ht="12.75">
      <c r="G919" s="14"/>
    </row>
    <row r="920" ht="12.75">
      <c r="G920" s="14"/>
    </row>
    <row r="921" ht="12.75">
      <c r="G921" s="14"/>
    </row>
    <row r="922" ht="12.75">
      <c r="G922" s="14"/>
    </row>
    <row r="923" ht="12.75">
      <c r="G923" s="14"/>
    </row>
    <row r="924" ht="12.75">
      <c r="G924" s="14"/>
    </row>
    <row r="925" ht="12.75">
      <c r="G925" s="14"/>
    </row>
    <row r="926" ht="12.75">
      <c r="G926" s="14"/>
    </row>
    <row r="927" ht="12.75">
      <c r="G927" s="14"/>
    </row>
    <row r="928" ht="12.75">
      <c r="G928" s="14"/>
    </row>
    <row r="929" ht="12.75">
      <c r="G929" s="14"/>
    </row>
    <row r="930" ht="12.75">
      <c r="G930" s="14"/>
    </row>
    <row r="931" ht="12.75">
      <c r="G931" s="14"/>
    </row>
    <row r="932" ht="12.75">
      <c r="G932" s="14"/>
    </row>
    <row r="933" ht="12.75">
      <c r="G933" s="14"/>
    </row>
    <row r="934" ht="12.75">
      <c r="G934" s="14"/>
    </row>
    <row r="935" ht="12.75">
      <c r="G935" s="14"/>
    </row>
    <row r="936" ht="12.75">
      <c r="G936" s="14"/>
    </row>
    <row r="937" ht="12.75">
      <c r="G937" s="14"/>
    </row>
    <row r="938" ht="12.75">
      <c r="G938" s="14"/>
    </row>
    <row r="939" ht="12.75">
      <c r="G939" s="14"/>
    </row>
    <row r="940" ht="12.75">
      <c r="G940" s="14"/>
    </row>
    <row r="941" ht="12.75">
      <c r="G941" s="14"/>
    </row>
    <row r="942" ht="12.75">
      <c r="G942" s="14"/>
    </row>
    <row r="943" ht="12.75">
      <c r="G943" s="14"/>
    </row>
    <row r="944" ht="12.75">
      <c r="G944" s="14"/>
    </row>
    <row r="945" ht="12.75">
      <c r="G945" s="14"/>
    </row>
    <row r="946" ht="12.75">
      <c r="G946" s="14"/>
    </row>
    <row r="947" ht="12.75">
      <c r="G947" s="14"/>
    </row>
    <row r="948" ht="12.75">
      <c r="G948" s="14"/>
    </row>
    <row r="949" ht="12.75">
      <c r="G949" s="14"/>
    </row>
    <row r="950" ht="12.75">
      <c r="G950" s="14"/>
    </row>
    <row r="951" ht="12.75">
      <c r="G951" s="14"/>
    </row>
    <row r="952" ht="12.75">
      <c r="G952" s="14"/>
    </row>
    <row r="953" ht="12.75">
      <c r="G953" s="14"/>
    </row>
    <row r="954" ht="12.75">
      <c r="G954" s="14"/>
    </row>
    <row r="955" ht="12.75">
      <c r="G955" s="14"/>
    </row>
    <row r="956" ht="12.75">
      <c r="G956" s="14"/>
    </row>
    <row r="957" ht="12.75">
      <c r="G957" s="14"/>
    </row>
    <row r="958" ht="12.75">
      <c r="G958" s="14"/>
    </row>
    <row r="959" ht="12.75">
      <c r="G959" s="14"/>
    </row>
    <row r="960" ht="12.75">
      <c r="G960" s="14"/>
    </row>
    <row r="961" ht="12.75">
      <c r="G961" s="14"/>
    </row>
    <row r="962" ht="12.75">
      <c r="G962" s="14"/>
    </row>
    <row r="963" ht="12.75">
      <c r="G963" s="14"/>
    </row>
    <row r="964" ht="12.75">
      <c r="G964" s="14"/>
    </row>
    <row r="965" ht="12.75">
      <c r="G965" s="14"/>
    </row>
    <row r="966" ht="12.75">
      <c r="G966" s="14"/>
    </row>
    <row r="967" ht="12.75">
      <c r="G967" s="14"/>
    </row>
    <row r="968" ht="12.75">
      <c r="G968" s="14"/>
    </row>
    <row r="969" ht="12.75">
      <c r="G969" s="14"/>
    </row>
    <row r="970" ht="12.75">
      <c r="G970" s="14"/>
    </row>
    <row r="971" ht="12.75">
      <c r="G971" s="14"/>
    </row>
    <row r="972" ht="12.75">
      <c r="G972" s="14"/>
    </row>
    <row r="973" ht="12.75">
      <c r="G973" s="14"/>
    </row>
    <row r="974" ht="12.75">
      <c r="G974" s="14"/>
    </row>
    <row r="975" ht="12.75">
      <c r="G975" s="14"/>
    </row>
    <row r="976" ht="12.75">
      <c r="G976" s="14"/>
    </row>
    <row r="977" ht="12.75">
      <c r="G977" s="14"/>
    </row>
    <row r="978" ht="12.75">
      <c r="G978" s="14"/>
    </row>
    <row r="979" ht="12.75">
      <c r="G979" s="14"/>
    </row>
    <row r="980" ht="12.75">
      <c r="G980" s="14"/>
    </row>
    <row r="981" ht="12.75">
      <c r="G981" s="14"/>
    </row>
    <row r="982" ht="12.75">
      <c r="G982" s="14"/>
    </row>
    <row r="983" ht="12.75">
      <c r="G983" s="14"/>
    </row>
    <row r="984" ht="12.75">
      <c r="G984" s="14"/>
    </row>
    <row r="985" ht="12.75">
      <c r="G985" s="14"/>
    </row>
    <row r="986" ht="12.75">
      <c r="G986" s="14"/>
    </row>
    <row r="987" ht="12.75">
      <c r="G987" s="14"/>
    </row>
    <row r="988" ht="12.75">
      <c r="G988" s="14"/>
    </row>
    <row r="989" ht="12.75">
      <c r="G989" s="14"/>
    </row>
    <row r="990" ht="12.75">
      <c r="G990" s="14"/>
    </row>
    <row r="991" ht="12.75">
      <c r="G991" s="14"/>
    </row>
    <row r="992" ht="12.75">
      <c r="G992" s="14"/>
    </row>
    <row r="993" ht="12.75">
      <c r="G993" s="14"/>
    </row>
    <row r="994" ht="12.75">
      <c r="G994" s="14"/>
    </row>
    <row r="995" ht="12.75">
      <c r="G995" s="14"/>
    </row>
    <row r="996" ht="12.75">
      <c r="G996" s="14"/>
    </row>
    <row r="997" ht="12.75">
      <c r="G997" s="14"/>
    </row>
    <row r="998" ht="12.75">
      <c r="G998" s="14"/>
    </row>
    <row r="999" ht="12.75">
      <c r="G999" s="14"/>
    </row>
    <row r="1000" ht="12.75">
      <c r="G1000" s="14"/>
    </row>
    <row r="1001" ht="12.75">
      <c r="G1001" s="14"/>
    </row>
    <row r="1002" ht="12.75">
      <c r="G1002" s="14"/>
    </row>
    <row r="1003" ht="12.75">
      <c r="G1003" s="14"/>
    </row>
    <row r="1004" ht="12.75">
      <c r="G1004" s="14"/>
    </row>
    <row r="1005" ht="12.75">
      <c r="G1005" s="14"/>
    </row>
    <row r="1006" ht="12.75">
      <c r="G1006" s="14"/>
    </row>
    <row r="1007" ht="12.75">
      <c r="G1007" s="14"/>
    </row>
    <row r="1008" ht="12.75">
      <c r="G1008" s="14"/>
    </row>
    <row r="1009" ht="12.75">
      <c r="G1009" s="14"/>
    </row>
    <row r="1010" ht="12.75">
      <c r="G1010" s="14"/>
    </row>
    <row r="1011" ht="12.75">
      <c r="G1011" s="14"/>
    </row>
    <row r="1012" ht="12.75">
      <c r="G1012" s="14"/>
    </row>
    <row r="1013" ht="12.75">
      <c r="G1013" s="14"/>
    </row>
    <row r="1014" ht="12.75">
      <c r="G1014" s="14"/>
    </row>
    <row r="1015" ht="12.75">
      <c r="G1015" s="14"/>
    </row>
    <row r="1016" ht="12.75">
      <c r="G1016" s="14"/>
    </row>
    <row r="1017" ht="12.75">
      <c r="G1017" s="14"/>
    </row>
    <row r="1018" ht="12.75">
      <c r="G1018" s="14"/>
    </row>
    <row r="1019" ht="12.75">
      <c r="G1019" s="14"/>
    </row>
    <row r="1020" ht="12.75">
      <c r="G1020" s="14"/>
    </row>
    <row r="1021" ht="12.75">
      <c r="G1021" s="14"/>
    </row>
    <row r="1022" ht="12.75">
      <c r="G1022" s="14"/>
    </row>
    <row r="1023" ht="12.75">
      <c r="G1023" s="14"/>
    </row>
    <row r="1024" ht="12.75">
      <c r="G1024" s="14"/>
    </row>
    <row r="1025" ht="12.75">
      <c r="G1025" s="14"/>
    </row>
    <row r="1026" ht="12.75">
      <c r="G1026" s="14"/>
    </row>
    <row r="1027" ht="12.75">
      <c r="G1027" s="14"/>
    </row>
    <row r="1028" ht="12.75">
      <c r="G1028" s="14"/>
    </row>
    <row r="1029" ht="12.75">
      <c r="G1029" s="14"/>
    </row>
    <row r="1030" ht="12.75">
      <c r="G1030" s="14"/>
    </row>
    <row r="1031" ht="12.75">
      <c r="G1031" s="14"/>
    </row>
    <row r="1032" ht="12.75">
      <c r="G1032" s="14"/>
    </row>
    <row r="1033" ht="12.75">
      <c r="G1033" s="14"/>
    </row>
    <row r="1034" ht="12.75">
      <c r="G1034" s="14"/>
    </row>
    <row r="1035" ht="12.75">
      <c r="G1035" s="14"/>
    </row>
    <row r="1036" ht="12.75">
      <c r="G1036" s="14"/>
    </row>
    <row r="1037" ht="12.75">
      <c r="G1037" s="14"/>
    </row>
    <row r="1038" ht="12.75">
      <c r="G1038" s="14"/>
    </row>
    <row r="1039" ht="12.75">
      <c r="G1039" s="14"/>
    </row>
    <row r="1040" ht="12.75">
      <c r="G1040" s="14"/>
    </row>
    <row r="1041" ht="12.75">
      <c r="G1041" s="14"/>
    </row>
    <row r="1042" ht="12.75">
      <c r="G1042" s="14"/>
    </row>
    <row r="1043" ht="12.75">
      <c r="G1043" s="14"/>
    </row>
    <row r="1044" ht="12.75">
      <c r="G1044" s="14"/>
    </row>
    <row r="1045" ht="12.75">
      <c r="G1045" s="14"/>
    </row>
    <row r="1046" ht="12.75">
      <c r="G1046" s="14"/>
    </row>
    <row r="1047" ht="12.75">
      <c r="G1047" s="14"/>
    </row>
    <row r="1048" ht="12.75">
      <c r="G1048" s="14"/>
    </row>
    <row r="1049" ht="12.75">
      <c r="G1049" s="14"/>
    </row>
    <row r="1050" ht="12.75">
      <c r="G1050" s="14"/>
    </row>
    <row r="1051" ht="12.75">
      <c r="G1051" s="14"/>
    </row>
    <row r="1052" ht="12.75">
      <c r="G1052" s="14"/>
    </row>
    <row r="1053" ht="12.75">
      <c r="G1053" s="14"/>
    </row>
    <row r="1054" ht="12.75">
      <c r="G1054" s="14"/>
    </row>
    <row r="1055" ht="12.75">
      <c r="G1055" s="14"/>
    </row>
    <row r="1056" ht="12.75">
      <c r="G1056" s="14"/>
    </row>
    <row r="1057" ht="12.75">
      <c r="G1057" s="14"/>
    </row>
    <row r="1058" ht="12.75">
      <c r="G1058" s="14"/>
    </row>
    <row r="1059" ht="12.75">
      <c r="G1059" s="14"/>
    </row>
    <row r="1060" ht="12.75">
      <c r="G1060" s="14"/>
    </row>
    <row r="1061" ht="12.75">
      <c r="G1061" s="14"/>
    </row>
    <row r="1062" ht="12.75">
      <c r="G1062" s="14"/>
    </row>
    <row r="1063" ht="12.75">
      <c r="G1063" s="14"/>
    </row>
    <row r="1064" ht="12.75">
      <c r="G1064" s="14"/>
    </row>
    <row r="1065" ht="12.75">
      <c r="G1065" s="14"/>
    </row>
    <row r="1066" ht="12.75">
      <c r="G1066" s="14"/>
    </row>
    <row r="1067" ht="12.75">
      <c r="G1067" s="14"/>
    </row>
    <row r="1068" ht="12.75">
      <c r="G1068" s="14"/>
    </row>
    <row r="1069" ht="12.75">
      <c r="G1069" s="14"/>
    </row>
    <row r="1070" ht="12.75">
      <c r="G1070" s="14"/>
    </row>
    <row r="1071" ht="12.75">
      <c r="G1071" s="14"/>
    </row>
    <row r="1072" ht="12.75">
      <c r="G1072" s="14"/>
    </row>
    <row r="1073" ht="12.75">
      <c r="G1073" s="14"/>
    </row>
    <row r="1074" ht="12.75">
      <c r="G1074" s="14"/>
    </row>
    <row r="1075" ht="12.75">
      <c r="G1075" s="14"/>
    </row>
    <row r="1076" ht="12.75">
      <c r="G1076" s="14"/>
    </row>
    <row r="1077" ht="12.75">
      <c r="G1077" s="14"/>
    </row>
    <row r="1078" ht="12.75">
      <c r="G1078" s="14"/>
    </row>
    <row r="1079" ht="12.75">
      <c r="G1079" s="14"/>
    </row>
    <row r="1080" ht="12.75">
      <c r="G1080" s="14"/>
    </row>
    <row r="1081" ht="12.75">
      <c r="G1081" s="14"/>
    </row>
    <row r="1082" ht="12.75">
      <c r="G1082" s="14"/>
    </row>
    <row r="1083" ht="12.75">
      <c r="G1083" s="14"/>
    </row>
    <row r="1084" ht="12.75">
      <c r="G1084" s="14"/>
    </row>
    <row r="1085" ht="12.75">
      <c r="G1085" s="14"/>
    </row>
    <row r="1086" ht="12.75">
      <c r="G1086" s="14"/>
    </row>
    <row r="1087" ht="12.75">
      <c r="G1087" s="14"/>
    </row>
    <row r="1088" ht="12.75">
      <c r="G1088" s="14"/>
    </row>
    <row r="1089" ht="12.75">
      <c r="G1089" s="14"/>
    </row>
    <row r="1090" ht="12.75">
      <c r="G1090" s="14"/>
    </row>
    <row r="1091" ht="12.75">
      <c r="G1091" s="14"/>
    </row>
    <row r="1092" ht="12.75">
      <c r="G1092" s="14"/>
    </row>
    <row r="1093" ht="12.75">
      <c r="G1093" s="14"/>
    </row>
    <row r="1094" ht="12.75">
      <c r="G1094" s="14"/>
    </row>
    <row r="1095" ht="12.75">
      <c r="G1095" s="14"/>
    </row>
    <row r="1096" ht="12.75">
      <c r="G1096" s="14"/>
    </row>
    <row r="1097" ht="12.75">
      <c r="G1097" s="14"/>
    </row>
    <row r="1098" ht="12.75">
      <c r="G1098" s="14"/>
    </row>
    <row r="1099" ht="12.75">
      <c r="G1099" s="14"/>
    </row>
    <row r="1100" ht="12.75">
      <c r="G1100" s="14"/>
    </row>
    <row r="1101" ht="12.75">
      <c r="G1101" s="14"/>
    </row>
    <row r="1102" ht="12.75">
      <c r="G1102" s="14"/>
    </row>
    <row r="1103" ht="12.75">
      <c r="G1103" s="14"/>
    </row>
    <row r="1104" ht="12.75">
      <c r="G1104" s="14"/>
    </row>
    <row r="1105" ht="12.75">
      <c r="G1105" s="14"/>
    </row>
    <row r="1106" ht="12.75">
      <c r="G1106" s="14"/>
    </row>
    <row r="1107" ht="12.75">
      <c r="G1107" s="14"/>
    </row>
    <row r="1108" ht="12.75">
      <c r="G1108" s="14"/>
    </row>
    <row r="1109" ht="12.75">
      <c r="G1109" s="14"/>
    </row>
    <row r="1110" ht="12.75">
      <c r="G1110" s="14"/>
    </row>
    <row r="1111" ht="12.75">
      <c r="G1111" s="14"/>
    </row>
    <row r="1112" ht="12.75">
      <c r="G1112" s="14"/>
    </row>
    <row r="1113" ht="12.75">
      <c r="G1113" s="14"/>
    </row>
    <row r="1114" ht="12.75">
      <c r="G1114" s="14"/>
    </row>
    <row r="1115" ht="12.75">
      <c r="G1115" s="14"/>
    </row>
    <row r="1116" ht="12.75">
      <c r="G1116" s="14"/>
    </row>
    <row r="1117" ht="12.75">
      <c r="G1117" s="14"/>
    </row>
    <row r="1118" ht="12.75">
      <c r="G1118" s="14"/>
    </row>
    <row r="1119" ht="12.75">
      <c r="G1119" s="14"/>
    </row>
    <row r="1120" ht="12.75">
      <c r="G1120" s="14"/>
    </row>
    <row r="1121" ht="12.75">
      <c r="G1121" s="14"/>
    </row>
    <row r="1122" ht="12.75">
      <c r="G1122" s="14"/>
    </row>
    <row r="1123" ht="12.75">
      <c r="G1123" s="14"/>
    </row>
    <row r="1124" ht="12.75">
      <c r="G1124" s="14"/>
    </row>
    <row r="1125" ht="12.75">
      <c r="G1125" s="14"/>
    </row>
    <row r="1126" ht="12.75">
      <c r="G1126" s="14"/>
    </row>
    <row r="1127" ht="12.75">
      <c r="G1127" s="14"/>
    </row>
    <row r="1128" ht="12.75">
      <c r="G1128" s="14"/>
    </row>
    <row r="1129" ht="12.75">
      <c r="G1129" s="14"/>
    </row>
    <row r="1130" ht="12.75">
      <c r="G1130" s="14"/>
    </row>
    <row r="1131" ht="12.75">
      <c r="G1131" s="14"/>
    </row>
    <row r="1132" ht="12.75">
      <c r="G1132" s="14"/>
    </row>
    <row r="1133" ht="12.75">
      <c r="G1133" s="14"/>
    </row>
    <row r="1134" ht="12.75">
      <c r="G1134" s="14"/>
    </row>
    <row r="1135" ht="12.75">
      <c r="G1135" s="14"/>
    </row>
    <row r="1136" ht="12.75">
      <c r="G1136" s="14"/>
    </row>
    <row r="1137" ht="12.75">
      <c r="G1137" s="14"/>
    </row>
    <row r="1138" ht="12.75">
      <c r="G1138" s="14"/>
    </row>
    <row r="1139" ht="12.75">
      <c r="G1139" s="14"/>
    </row>
    <row r="1140" ht="12.75">
      <c r="G1140" s="14"/>
    </row>
    <row r="1141" ht="12.75">
      <c r="G1141" s="14"/>
    </row>
    <row r="1142" ht="12.75">
      <c r="G1142" s="14"/>
    </row>
    <row r="1143" ht="12.75">
      <c r="G1143" s="14"/>
    </row>
    <row r="1144" ht="12.75">
      <c r="G1144" s="14"/>
    </row>
    <row r="1145" ht="12.75">
      <c r="G1145" s="14"/>
    </row>
    <row r="1146" ht="12.75">
      <c r="G1146" s="14"/>
    </row>
    <row r="1147" ht="12.75">
      <c r="G1147" s="14"/>
    </row>
    <row r="1148" ht="12.75">
      <c r="G1148" s="14"/>
    </row>
    <row r="1149" ht="12.75">
      <c r="G1149" s="14"/>
    </row>
    <row r="1150" ht="12.75">
      <c r="G1150" s="14"/>
    </row>
    <row r="1151" ht="12.75">
      <c r="G1151" s="14"/>
    </row>
    <row r="1152" ht="12.75">
      <c r="G1152" s="14"/>
    </row>
    <row r="1153" ht="12.75">
      <c r="G1153" s="14"/>
    </row>
    <row r="1154" ht="12.75">
      <c r="G1154" s="14"/>
    </row>
    <row r="1155" ht="12.75">
      <c r="G1155" s="14"/>
    </row>
    <row r="1156" ht="12.75">
      <c r="G1156" s="14"/>
    </row>
    <row r="1157" ht="12.75">
      <c r="G1157" s="14"/>
    </row>
    <row r="1158" ht="12.75">
      <c r="G1158" s="14"/>
    </row>
    <row r="1159" ht="12.75">
      <c r="G1159" s="14"/>
    </row>
    <row r="1160" ht="12.75">
      <c r="G1160" s="14"/>
    </row>
    <row r="1161" ht="12.75">
      <c r="G1161" s="14"/>
    </row>
    <row r="1162" ht="12.75">
      <c r="G1162" s="14"/>
    </row>
    <row r="1163" ht="12.75">
      <c r="G1163" s="14"/>
    </row>
    <row r="1164" ht="12.75">
      <c r="G1164" s="14"/>
    </row>
    <row r="1165" ht="12.75">
      <c r="G1165" s="14"/>
    </row>
    <row r="1166" ht="12.75">
      <c r="G1166" s="14"/>
    </row>
    <row r="1167" ht="12.75">
      <c r="G1167" s="14"/>
    </row>
    <row r="1168" ht="12.75">
      <c r="G1168" s="14"/>
    </row>
    <row r="1169" ht="12.75">
      <c r="G1169" s="14"/>
    </row>
    <row r="1170" ht="12.75">
      <c r="G1170" s="14"/>
    </row>
    <row r="1171" ht="12.75">
      <c r="G1171" s="14"/>
    </row>
    <row r="1172" ht="12.75">
      <c r="G1172" s="14"/>
    </row>
    <row r="1173" ht="12.75">
      <c r="G1173" s="14"/>
    </row>
    <row r="1174" ht="12.75">
      <c r="G1174" s="14"/>
    </row>
    <row r="1175" ht="12.75">
      <c r="G1175" s="14"/>
    </row>
    <row r="1176" ht="12.75">
      <c r="G1176" s="14"/>
    </row>
    <row r="1177" ht="12.75">
      <c r="G1177" s="14"/>
    </row>
    <row r="1178" ht="12.75">
      <c r="G1178" s="14"/>
    </row>
    <row r="1179" ht="12.75">
      <c r="G1179" s="14"/>
    </row>
    <row r="1180" ht="12.75">
      <c r="G1180" s="14"/>
    </row>
    <row r="1181" ht="12.75">
      <c r="G1181" s="14"/>
    </row>
    <row r="1182" ht="12.75">
      <c r="G1182" s="14"/>
    </row>
    <row r="1183" ht="12.75">
      <c r="G1183" s="14"/>
    </row>
    <row r="1184" ht="12.75">
      <c r="G1184" s="14"/>
    </row>
    <row r="1185" ht="12.75">
      <c r="G1185" s="14"/>
    </row>
    <row r="1186" ht="12.75">
      <c r="G1186" s="14"/>
    </row>
    <row r="1187" ht="12.75">
      <c r="G1187" s="14"/>
    </row>
    <row r="1188" ht="12.75">
      <c r="G1188" s="14"/>
    </row>
    <row r="1189" ht="12.75">
      <c r="G1189" s="14"/>
    </row>
    <row r="1190" ht="12.75">
      <c r="G1190" s="14"/>
    </row>
    <row r="1191" ht="12.75">
      <c r="G1191" s="14"/>
    </row>
    <row r="1192" ht="12.75">
      <c r="G1192" s="14"/>
    </row>
    <row r="1193" ht="12.75">
      <c r="G1193" s="14"/>
    </row>
    <row r="1194" ht="12.75">
      <c r="G1194" s="14"/>
    </row>
    <row r="1195" ht="12.75">
      <c r="G1195" s="14"/>
    </row>
    <row r="1196" ht="12.75">
      <c r="G1196" s="14"/>
    </row>
    <row r="1197" ht="12.75">
      <c r="G1197" s="14"/>
    </row>
    <row r="1198" ht="12.75">
      <c r="G1198" s="14"/>
    </row>
    <row r="1199" ht="12.75">
      <c r="G1199" s="14"/>
    </row>
    <row r="1200" ht="12.75">
      <c r="G1200" s="14"/>
    </row>
    <row r="1201" ht="12.75">
      <c r="G1201" s="14"/>
    </row>
    <row r="1202" ht="12.75">
      <c r="G1202" s="14"/>
    </row>
    <row r="1203" ht="12.75">
      <c r="G1203" s="14"/>
    </row>
    <row r="1204" ht="12.75">
      <c r="G1204" s="14"/>
    </row>
    <row r="1205" ht="12.75">
      <c r="G1205" s="14"/>
    </row>
    <row r="1206" ht="12.75">
      <c r="G1206" s="14"/>
    </row>
    <row r="1207" ht="12.75">
      <c r="G1207" s="14"/>
    </row>
    <row r="1208" ht="12.75">
      <c r="G1208" s="14"/>
    </row>
    <row r="1209" ht="12.75">
      <c r="G1209" s="14"/>
    </row>
    <row r="1210" ht="12.75">
      <c r="G1210" s="14"/>
    </row>
    <row r="1211" ht="12.75">
      <c r="G1211" s="14"/>
    </row>
    <row r="1212" ht="12.75">
      <c r="G1212" s="14"/>
    </row>
    <row r="1213" ht="12.75">
      <c r="G1213" s="14"/>
    </row>
    <row r="1214" ht="12.75">
      <c r="G1214" s="14"/>
    </row>
    <row r="1215" ht="12.75">
      <c r="G1215" s="14"/>
    </row>
    <row r="1216" ht="12.75">
      <c r="G1216" s="14"/>
    </row>
    <row r="1217" ht="12.75">
      <c r="G1217" s="14"/>
    </row>
    <row r="1218" ht="12.75">
      <c r="G1218" s="14"/>
    </row>
    <row r="1219" ht="12.75">
      <c r="G1219" s="14"/>
    </row>
    <row r="1220" ht="12.75">
      <c r="G1220" s="14"/>
    </row>
    <row r="1221" ht="12.75">
      <c r="G1221" s="14"/>
    </row>
    <row r="1222" ht="12.75">
      <c r="G1222" s="14"/>
    </row>
    <row r="1223" ht="12.75">
      <c r="G1223" s="14"/>
    </row>
    <row r="1224" ht="12.75">
      <c r="G1224" s="14"/>
    </row>
    <row r="1225" ht="12.75">
      <c r="G1225" s="14"/>
    </row>
    <row r="1226" ht="12.75">
      <c r="G1226" s="14"/>
    </row>
    <row r="1227" ht="12.75">
      <c r="G1227" s="14"/>
    </row>
    <row r="1228" ht="12.75">
      <c r="G1228" s="14"/>
    </row>
    <row r="1229" ht="12.75">
      <c r="G1229" s="14"/>
    </row>
    <row r="1230" ht="12.75">
      <c r="G1230" s="14"/>
    </row>
    <row r="1231" ht="12.75">
      <c r="G1231" s="14"/>
    </row>
    <row r="1232" ht="12.75">
      <c r="G1232" s="14"/>
    </row>
    <row r="1233" ht="12.75">
      <c r="G1233" s="14"/>
    </row>
    <row r="1234" ht="12.75">
      <c r="G1234" s="14"/>
    </row>
    <row r="1235" ht="12.75">
      <c r="G1235" s="14"/>
    </row>
    <row r="1236" ht="12.75">
      <c r="G1236" s="14"/>
    </row>
    <row r="1237" ht="12.75">
      <c r="G1237" s="14"/>
    </row>
    <row r="1238" ht="12.75">
      <c r="G1238" s="14"/>
    </row>
    <row r="1239" ht="12.75">
      <c r="G1239" s="14"/>
    </row>
    <row r="1240" ht="12.75">
      <c r="G1240" s="14"/>
    </row>
    <row r="1241" ht="12.75">
      <c r="G1241" s="14"/>
    </row>
    <row r="1242" ht="12.75">
      <c r="G1242" s="14"/>
    </row>
    <row r="1243" ht="12.75">
      <c r="G1243" s="14"/>
    </row>
    <row r="1244" ht="12.75">
      <c r="G1244" s="14"/>
    </row>
    <row r="1245" ht="12.75">
      <c r="G1245" s="14"/>
    </row>
    <row r="1246" ht="12.75">
      <c r="G1246" s="14"/>
    </row>
    <row r="1247" ht="12.75">
      <c r="G1247" s="14"/>
    </row>
    <row r="1248" ht="12.75">
      <c r="G1248" s="14"/>
    </row>
    <row r="1249" ht="12.75">
      <c r="G1249" s="14"/>
    </row>
    <row r="1250" ht="12.75">
      <c r="G1250" s="14"/>
    </row>
    <row r="1251" ht="12.75">
      <c r="G1251" s="14"/>
    </row>
    <row r="1252" ht="12.75">
      <c r="G1252" s="14"/>
    </row>
    <row r="1253" ht="12.75">
      <c r="G1253" s="14"/>
    </row>
    <row r="1254" ht="12.75">
      <c r="G1254" s="14"/>
    </row>
    <row r="1255" ht="12.75">
      <c r="G1255" s="14"/>
    </row>
    <row r="1256" ht="12.75">
      <c r="G1256" s="14"/>
    </row>
    <row r="1257" ht="12.75">
      <c r="G1257" s="14"/>
    </row>
    <row r="1258" ht="12.75">
      <c r="G1258" s="14"/>
    </row>
    <row r="1259" ht="12.75">
      <c r="G1259" s="14"/>
    </row>
    <row r="1260" ht="12.75">
      <c r="G1260" s="14"/>
    </row>
  </sheetData>
  <sheetProtection password="DDD9" sheet="1" objects="1" scenarios="1"/>
  <mergeCells count="1">
    <mergeCell ref="B1:D1"/>
  </mergeCells>
  <printOptions/>
  <pageMargins left="0.75" right="0.25" top="0.75" bottom="0.5" header="0.5" footer="0.5"/>
  <pageSetup horizontalDpi="300" verticalDpi="300" orientation="portrait" r:id="rId1"/>
  <headerFooter alignWithMargins="0">
    <oddHeader>&amp;RPage No.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52"/>
  <sheetViews>
    <sheetView workbookViewId="0" topLeftCell="A1">
      <selection activeCell="B1" sqref="B1:D1"/>
    </sheetView>
  </sheetViews>
  <sheetFormatPr defaultColWidth="9.140625" defaultRowHeight="12.75"/>
  <cols>
    <col min="1" max="1" width="9.140625" style="5" customWidth="1"/>
    <col min="2" max="2" width="38.57421875" style="4" customWidth="1"/>
    <col min="3" max="3" width="3.57421875" style="4" customWidth="1"/>
    <col min="4" max="4" width="12.421875" style="4" customWidth="1"/>
    <col min="5" max="5" width="13.8515625" style="5" customWidth="1"/>
    <col min="6" max="6" width="3.28125" style="5" customWidth="1"/>
    <col min="7" max="7" width="13.00390625" style="5" customWidth="1"/>
    <col min="8" max="8" width="3.421875" style="5" customWidth="1"/>
    <col min="9" max="9" width="13.7109375" style="5" bestFit="1" customWidth="1"/>
    <col min="10" max="10" width="9.140625" style="5" customWidth="1"/>
    <col min="11" max="11" width="11.57421875" style="5" bestFit="1" customWidth="1"/>
    <col min="12" max="16384" width="9.140625" style="5" customWidth="1"/>
  </cols>
  <sheetData>
    <row r="1" spans="2:6" ht="15.75">
      <c r="B1" s="159" t="s">
        <v>683</v>
      </c>
      <c r="C1" s="159"/>
      <c r="D1" s="159"/>
      <c r="E1" s="3"/>
      <c r="F1" s="2"/>
    </row>
    <row r="2" spans="2:6" ht="12.75">
      <c r="B2" s="15" t="s">
        <v>75</v>
      </c>
      <c r="C2" s="3"/>
      <c r="D2" s="3"/>
      <c r="E2" s="3"/>
      <c r="F2" s="2"/>
    </row>
    <row r="3" spans="2:6" ht="12.75">
      <c r="B3" s="15" t="s">
        <v>76</v>
      </c>
      <c r="C3" s="3"/>
      <c r="D3" s="3"/>
      <c r="E3" s="3"/>
      <c r="F3" s="2"/>
    </row>
    <row r="4" spans="2:6" ht="12.75">
      <c r="B4" s="3"/>
      <c r="C4" s="3"/>
      <c r="D4" s="3"/>
      <c r="E4" s="3"/>
      <c r="F4" s="2"/>
    </row>
    <row r="5" spans="2:6" ht="12.75">
      <c r="B5" s="1" t="s">
        <v>0</v>
      </c>
      <c r="C5" s="2"/>
      <c r="D5" s="2"/>
      <c r="E5" s="2"/>
      <c r="F5" s="2"/>
    </row>
    <row r="6" spans="2:6" ht="12.75">
      <c r="B6" s="1"/>
      <c r="C6" s="2"/>
      <c r="D6" s="2"/>
      <c r="E6" s="2"/>
      <c r="F6" s="2"/>
    </row>
    <row r="7" spans="2:7" ht="12.75">
      <c r="B7" s="1" t="s">
        <v>337</v>
      </c>
      <c r="C7" s="5"/>
      <c r="D7" s="3"/>
      <c r="G7" s="14"/>
    </row>
    <row r="8" spans="1:7" ht="12.75">
      <c r="A8" s="5" t="s">
        <v>77</v>
      </c>
      <c r="B8" s="4" t="s">
        <v>262</v>
      </c>
      <c r="D8" s="9">
        <f>'RUF WORK FOR ALL'!D610</f>
        <v>1198941</v>
      </c>
      <c r="G8" s="14"/>
    </row>
    <row r="9" spans="1:7" ht="12.75">
      <c r="A9" s="5" t="s">
        <v>39</v>
      </c>
      <c r="B9" s="4" t="s">
        <v>262</v>
      </c>
      <c r="D9" s="9">
        <f>'RUF WORK FOR ALL'!D630</f>
        <v>461699</v>
      </c>
      <c r="G9" s="14"/>
    </row>
    <row r="10" spans="1:7" ht="12.75">
      <c r="A10" s="5" t="s">
        <v>41</v>
      </c>
      <c r="B10" s="4" t="s">
        <v>262</v>
      </c>
      <c r="D10" s="46">
        <f>'RUF WORK FOR ALL'!D644</f>
        <v>74338</v>
      </c>
      <c r="E10" s="14">
        <f>SUM(D8:D10)</f>
        <v>1734978</v>
      </c>
      <c r="G10" s="14"/>
    </row>
    <row r="11" spans="1:7" ht="12.75">
      <c r="A11" s="5" t="s">
        <v>77</v>
      </c>
      <c r="B11" s="4" t="s">
        <v>197</v>
      </c>
      <c r="D11" s="9">
        <f>'RUF WORK FOR ALL'!D611</f>
        <v>73439</v>
      </c>
      <c r="E11" s="14"/>
      <c r="G11" s="14"/>
    </row>
    <row r="12" spans="1:7" ht="12.75">
      <c r="A12" s="5" t="s">
        <v>275</v>
      </c>
      <c r="B12" s="4" t="s">
        <v>197</v>
      </c>
      <c r="D12" s="9">
        <f>'RUF WORK FOR ALL'!D625</f>
        <v>27834</v>
      </c>
      <c r="E12" s="14"/>
      <c r="G12" s="14"/>
    </row>
    <row r="13" spans="1:7" ht="12.75">
      <c r="A13" s="5" t="s">
        <v>39</v>
      </c>
      <c r="B13" s="4" t="s">
        <v>197</v>
      </c>
      <c r="D13" s="9">
        <f>'RUF WORK FOR ALL'!D631</f>
        <v>26957</v>
      </c>
      <c r="E13" s="14"/>
      <c r="G13" s="14"/>
    </row>
    <row r="14" spans="1:7" ht="12.75">
      <c r="A14" s="5" t="s">
        <v>36</v>
      </c>
      <c r="B14" s="4" t="s">
        <v>197</v>
      </c>
      <c r="D14" s="9">
        <f>'RUF WORK FOR ALL'!D639</f>
        <v>6075</v>
      </c>
      <c r="E14" s="14"/>
      <c r="G14" s="14"/>
    </row>
    <row r="15" spans="1:7" ht="12.75">
      <c r="A15" s="5" t="s">
        <v>41</v>
      </c>
      <c r="B15" s="4" t="s">
        <v>197</v>
      </c>
      <c r="D15" s="46">
        <f>'RUF WORK FOR ALL'!D645</f>
        <v>12765</v>
      </c>
      <c r="E15" s="14">
        <f>SUM(D11:D15)</f>
        <v>147070</v>
      </c>
      <c r="G15" s="14"/>
    </row>
    <row r="16" spans="1:7" ht="12.75">
      <c r="A16" s="5" t="s">
        <v>217</v>
      </c>
      <c r="B16" s="4" t="s">
        <v>244</v>
      </c>
      <c r="D16" s="9">
        <f>'RUF WORK FOR ALL'!D618</f>
        <v>28040</v>
      </c>
      <c r="E16" s="14"/>
      <c r="G16" s="14"/>
    </row>
    <row r="17" spans="1:7" ht="12.75">
      <c r="A17" s="5" t="s">
        <v>217</v>
      </c>
      <c r="B17" s="4" t="s">
        <v>245</v>
      </c>
      <c r="D17" s="9">
        <f>'RUF WORK FOR ALL'!D619</f>
        <v>2595</v>
      </c>
      <c r="E17" s="14"/>
      <c r="G17" s="14"/>
    </row>
    <row r="18" spans="1:7" ht="12.75">
      <c r="A18" s="5" t="s">
        <v>275</v>
      </c>
      <c r="B18" s="4" t="s">
        <v>245</v>
      </c>
      <c r="D18" s="9">
        <f>'RUF WORK FOR ALL'!D626</f>
        <v>27098</v>
      </c>
      <c r="E18" s="14"/>
      <c r="G18" s="14"/>
    </row>
    <row r="19" spans="1:7" ht="12.75">
      <c r="A19" s="5" t="s">
        <v>39</v>
      </c>
      <c r="B19" s="4" t="s">
        <v>245</v>
      </c>
      <c r="D19" s="9">
        <f>'RUF WORK FOR ALL'!D632</f>
        <v>130605</v>
      </c>
      <c r="E19" s="14"/>
      <c r="G19" s="14"/>
    </row>
    <row r="20" spans="1:7" ht="12.75">
      <c r="A20" s="5" t="s">
        <v>36</v>
      </c>
      <c r="B20" s="4" t="s">
        <v>245</v>
      </c>
      <c r="D20" s="9">
        <f>'RUF WORK FOR ALL'!D640</f>
        <v>12475</v>
      </c>
      <c r="E20" s="14"/>
      <c r="G20" s="14"/>
    </row>
    <row r="21" spans="1:7" ht="12.75">
      <c r="A21" s="5" t="s">
        <v>41</v>
      </c>
      <c r="B21" s="4" t="s">
        <v>245</v>
      </c>
      <c r="D21" s="9">
        <f>'RUF WORK FOR ALL'!D646</f>
        <v>32849</v>
      </c>
      <c r="E21" s="14"/>
      <c r="G21" s="14"/>
    </row>
    <row r="22" spans="1:7" ht="12.75">
      <c r="A22" s="5" t="s">
        <v>77</v>
      </c>
      <c r="B22" s="4" t="s">
        <v>475</v>
      </c>
      <c r="D22" s="46">
        <f>'RUF WORK FOR ALL'!D612</f>
        <v>135753</v>
      </c>
      <c r="E22" s="14">
        <f>SUM(D16:D22)</f>
        <v>369415</v>
      </c>
      <c r="G22" s="14"/>
    </row>
    <row r="23" spans="1:7" ht="12.75">
      <c r="A23" s="5" t="s">
        <v>77</v>
      </c>
      <c r="B23" s="4" t="s">
        <v>261</v>
      </c>
      <c r="C23" s="2"/>
      <c r="D23" s="9">
        <f>'RUF WORK FOR ALL'!D609</f>
        <v>219200</v>
      </c>
      <c r="E23" s="14"/>
      <c r="G23" s="14"/>
    </row>
    <row r="24" spans="1:7" ht="12.75">
      <c r="A24" s="5" t="s">
        <v>275</v>
      </c>
      <c r="B24" s="4" t="s">
        <v>261</v>
      </c>
      <c r="D24" s="9">
        <f>'RUF WORK FOR ALL'!D624</f>
        <v>1550</v>
      </c>
      <c r="G24" s="14"/>
    </row>
    <row r="25" spans="1:7" ht="12.75">
      <c r="A25" s="5" t="s">
        <v>39</v>
      </c>
      <c r="B25" s="4" t="s">
        <v>261</v>
      </c>
      <c r="D25" s="9">
        <f>'RUF WORK FOR ALL'!D629</f>
        <v>88400</v>
      </c>
      <c r="G25" s="14"/>
    </row>
    <row r="26" spans="1:7" ht="12.75">
      <c r="A26" s="5" t="s">
        <v>36</v>
      </c>
      <c r="B26" s="4" t="s">
        <v>261</v>
      </c>
      <c r="D26" s="9">
        <f>'RUF WORK FOR ALL'!D636</f>
        <v>30000</v>
      </c>
      <c r="G26" s="14"/>
    </row>
    <row r="27" spans="1:7" ht="12.75">
      <c r="A27" s="5" t="s">
        <v>41</v>
      </c>
      <c r="B27" s="4" t="s">
        <v>261</v>
      </c>
      <c r="D27" s="46">
        <f>'RUF WORK FOR ALL'!D643</f>
        <v>13400</v>
      </c>
      <c r="E27" s="14">
        <f>SUM(D23:D27)</f>
        <v>352550</v>
      </c>
      <c r="G27" s="14"/>
    </row>
    <row r="28" spans="1:7" ht="12.75">
      <c r="A28" s="5" t="s">
        <v>248</v>
      </c>
      <c r="B28" s="4" t="s">
        <v>267</v>
      </c>
      <c r="D28" s="9">
        <f>'RUF WORK FOR ALL'!D622</f>
        <v>30000</v>
      </c>
      <c r="E28" s="14"/>
      <c r="G28" s="14"/>
    </row>
    <row r="29" spans="1:7" ht="12.75">
      <c r="A29" s="5" t="s">
        <v>36</v>
      </c>
      <c r="B29" s="4" t="s">
        <v>267</v>
      </c>
      <c r="D29" s="46">
        <f>'RUF WORK FOR ALL'!D638</f>
        <v>169919</v>
      </c>
      <c r="E29" s="14">
        <f>SUM(D28:D29)</f>
        <v>199919</v>
      </c>
      <c r="G29" s="14"/>
    </row>
    <row r="30" spans="1:7" ht="12.75">
      <c r="A30" s="5" t="s">
        <v>217</v>
      </c>
      <c r="B30" s="4" t="s">
        <v>243</v>
      </c>
      <c r="D30" s="46">
        <f>'RUF WORK FOR ALL'!D617</f>
        <v>1119</v>
      </c>
      <c r="E30" s="14">
        <f>D30</f>
        <v>1119</v>
      </c>
      <c r="G30" s="14"/>
    </row>
    <row r="31" spans="1:7" ht="12.75">
      <c r="A31" s="5" t="s">
        <v>217</v>
      </c>
      <c r="B31" s="4" t="s">
        <v>246</v>
      </c>
      <c r="D31" s="9">
        <f>'RUF WORK FOR ALL'!D620</f>
        <v>327494</v>
      </c>
      <c r="E31" s="14"/>
      <c r="G31" s="14"/>
    </row>
    <row r="32" spans="1:7" ht="12.75">
      <c r="A32" s="16" t="s">
        <v>38</v>
      </c>
      <c r="B32" s="16" t="s">
        <v>73</v>
      </c>
      <c r="D32" s="9">
        <f>'RUF WORK FOR ALL'!D608</f>
        <v>3000</v>
      </c>
      <c r="E32" s="14"/>
      <c r="G32" s="14"/>
    </row>
    <row r="33" spans="1:7" ht="12.75">
      <c r="A33" s="5" t="s">
        <v>77</v>
      </c>
      <c r="B33" s="4" t="s">
        <v>73</v>
      </c>
      <c r="C33" s="18"/>
      <c r="D33" s="9">
        <f>'RUF WORK FOR ALL'!D613</f>
        <v>17596296</v>
      </c>
      <c r="E33" s="14"/>
      <c r="G33" s="14"/>
    </row>
    <row r="34" spans="1:7" ht="12.75">
      <c r="A34" s="5" t="s">
        <v>275</v>
      </c>
      <c r="B34" s="4" t="s">
        <v>73</v>
      </c>
      <c r="D34" s="9">
        <f>'RUF WORK FOR ALL'!D623</f>
        <v>3429680</v>
      </c>
      <c r="E34" s="14"/>
      <c r="G34" s="14"/>
    </row>
    <row r="35" spans="1:7" ht="12.75">
      <c r="A35" s="5" t="s">
        <v>39</v>
      </c>
      <c r="B35" s="4" t="s">
        <v>73</v>
      </c>
      <c r="D35" s="9">
        <f>'RUF WORK FOR ALL'!D628</f>
        <v>15317015</v>
      </c>
      <c r="E35" s="14"/>
      <c r="G35" s="14"/>
    </row>
    <row r="36" spans="1:7" ht="12.75">
      <c r="A36" s="5" t="s">
        <v>36</v>
      </c>
      <c r="B36" s="4" t="s">
        <v>73</v>
      </c>
      <c r="D36" s="9">
        <f>'RUF WORK FOR ALL'!D635</f>
        <v>910806</v>
      </c>
      <c r="E36" s="14"/>
      <c r="G36" s="14"/>
    </row>
    <row r="37" spans="1:7" ht="12.75">
      <c r="A37" s="5" t="s">
        <v>41</v>
      </c>
      <c r="B37" s="4" t="s">
        <v>73</v>
      </c>
      <c r="D37" s="46">
        <f>'RUF WORK FOR ALL'!D642</f>
        <v>4971506</v>
      </c>
      <c r="E37" s="14">
        <f>SUM(D31:D37)</f>
        <v>42555797</v>
      </c>
      <c r="G37" s="14"/>
    </row>
    <row r="38" spans="1:7" ht="12.75">
      <c r="A38" s="5" t="s">
        <v>77</v>
      </c>
      <c r="B38" s="4" t="s">
        <v>266</v>
      </c>
      <c r="D38" s="9">
        <f>'RUF WORK FOR ALL'!D616</f>
        <v>6873</v>
      </c>
      <c r="E38" s="14"/>
      <c r="G38" s="14"/>
    </row>
    <row r="39" spans="1:7" ht="12.75">
      <c r="A39" s="5" t="s">
        <v>39</v>
      </c>
      <c r="B39" s="4" t="s">
        <v>266</v>
      </c>
      <c r="D39" s="46">
        <f>'RUF WORK FOR ALL'!D634</f>
        <v>32495</v>
      </c>
      <c r="E39" s="18">
        <f>SUM(D38:D39)</f>
        <v>39368</v>
      </c>
      <c r="G39" s="14"/>
    </row>
    <row r="40" spans="1:7" ht="12.75">
      <c r="A40" s="5" t="s">
        <v>275</v>
      </c>
      <c r="B40" s="4" t="s">
        <v>195</v>
      </c>
      <c r="D40" s="9">
        <f>'RUF WORK FOR ALL'!D627</f>
        <v>60526</v>
      </c>
      <c r="E40" s="14"/>
      <c r="G40" s="14"/>
    </row>
    <row r="41" spans="1:7" ht="12.75">
      <c r="A41" s="5" t="s">
        <v>39</v>
      </c>
      <c r="B41" s="4" t="s">
        <v>195</v>
      </c>
      <c r="D41" s="9">
        <f>'RUF WORK FOR ALL'!D633</f>
        <v>17384</v>
      </c>
      <c r="E41" s="14"/>
      <c r="G41" s="14"/>
    </row>
    <row r="42" spans="1:7" ht="12.75">
      <c r="A42" s="5" t="s">
        <v>41</v>
      </c>
      <c r="B42" s="4" t="s">
        <v>195</v>
      </c>
      <c r="D42" s="9">
        <f>'RUF WORK FOR ALL'!D647</f>
        <v>2150</v>
      </c>
      <c r="E42" s="14"/>
      <c r="G42" s="14"/>
    </row>
    <row r="43" spans="1:7" ht="12.75">
      <c r="A43" s="5" t="s">
        <v>77</v>
      </c>
      <c r="B43" s="4" t="s">
        <v>264</v>
      </c>
      <c r="D43" s="9">
        <f>'RUF WORK FOR ALL'!D614</f>
        <v>150295</v>
      </c>
      <c r="E43" s="14"/>
      <c r="G43" s="14"/>
    </row>
    <row r="44" spans="1:7" ht="12.75">
      <c r="A44" s="5" t="s">
        <v>248</v>
      </c>
      <c r="B44" s="4" t="s">
        <v>260</v>
      </c>
      <c r="D44" s="9">
        <f>'RUF WORK FOR ALL'!D621</f>
        <v>12163</v>
      </c>
      <c r="E44" s="14"/>
      <c r="G44" s="14"/>
    </row>
    <row r="45" spans="1:7" ht="12.75">
      <c r="A45" s="5" t="s">
        <v>36</v>
      </c>
      <c r="B45" s="4" t="s">
        <v>260</v>
      </c>
      <c r="D45" s="9">
        <f>'RUF WORK FOR ALL'!D641</f>
        <v>15765</v>
      </c>
      <c r="E45" s="14"/>
      <c r="G45" s="14"/>
    </row>
    <row r="46" spans="1:7" ht="12.75">
      <c r="A46" s="5" t="s">
        <v>41</v>
      </c>
      <c r="B46" s="16" t="s">
        <v>260</v>
      </c>
      <c r="D46" s="9">
        <f>'RUF WORK FOR ALL'!D648</f>
        <v>6318</v>
      </c>
      <c r="E46" s="14"/>
      <c r="G46" s="14"/>
    </row>
    <row r="47" spans="1:9" ht="12.75">
      <c r="A47" s="5" t="s">
        <v>77</v>
      </c>
      <c r="B47" s="4" t="s">
        <v>265</v>
      </c>
      <c r="C47" s="16"/>
      <c r="D47" s="46">
        <f>'RUF WORK FOR ALL'!D615</f>
        <v>27273</v>
      </c>
      <c r="E47" s="14">
        <f>SUM(D40:D47)</f>
        <v>291874</v>
      </c>
      <c r="G47" s="14">
        <f>SUM(E10:E47)</f>
        <v>45692090</v>
      </c>
      <c r="I47" s="14"/>
    </row>
    <row r="48" spans="2:6" ht="12.75">
      <c r="B48" s="1"/>
      <c r="C48" s="2"/>
      <c r="D48" s="2"/>
      <c r="E48" s="2"/>
      <c r="F48" s="2"/>
    </row>
    <row r="49" spans="2:6" ht="12.75">
      <c r="B49" s="1"/>
      <c r="C49" s="2"/>
      <c r="D49" s="2"/>
      <c r="E49" s="2"/>
      <c r="F49" s="2"/>
    </row>
    <row r="50" spans="2:7" ht="12.75" customHeight="1">
      <c r="B50" s="1" t="s">
        <v>333</v>
      </c>
      <c r="C50" s="2"/>
      <c r="D50" s="45"/>
      <c r="G50" s="14"/>
    </row>
    <row r="51" spans="1:7" ht="12.75">
      <c r="A51" s="5" t="s">
        <v>77</v>
      </c>
      <c r="B51" s="4" t="s">
        <v>230</v>
      </c>
      <c r="D51" s="9">
        <f>'RUF WORK FOR ALL'!D395</f>
        <v>95217</v>
      </c>
      <c r="G51" s="14"/>
    </row>
    <row r="52" spans="1:7" ht="12.75">
      <c r="A52" s="5" t="s">
        <v>39</v>
      </c>
      <c r="B52" s="4" t="s">
        <v>230</v>
      </c>
      <c r="D52" s="9">
        <f>'RUF WORK FOR ALL'!D435</f>
        <v>321391</v>
      </c>
      <c r="G52" s="14"/>
    </row>
    <row r="53" spans="1:7" ht="12.75">
      <c r="A53" s="5" t="s">
        <v>41</v>
      </c>
      <c r="B53" s="4" t="s">
        <v>230</v>
      </c>
      <c r="D53" s="9">
        <f>'RUF WORK FOR ALL'!D467</f>
        <v>265113</v>
      </c>
      <c r="G53" s="14"/>
    </row>
    <row r="54" spans="1:7" ht="12.75">
      <c r="A54" s="5" t="s">
        <v>38</v>
      </c>
      <c r="B54" s="11" t="s">
        <v>99</v>
      </c>
      <c r="C54" s="13"/>
      <c r="D54" s="9">
        <f>'RUF WORK FOR ALL'!D384</f>
        <v>18800</v>
      </c>
      <c r="G54" s="14"/>
    </row>
    <row r="55" spans="1:7" ht="12.75">
      <c r="A55" s="5" t="s">
        <v>275</v>
      </c>
      <c r="B55" s="4" t="s">
        <v>99</v>
      </c>
      <c r="D55" s="46">
        <f>'RUF WORK FOR ALL'!D425</f>
        <v>7137</v>
      </c>
      <c r="E55" s="14">
        <f>SUM(D51:D55)</f>
        <v>707658</v>
      </c>
      <c r="G55" s="14"/>
    </row>
    <row r="56" spans="1:7" ht="12.75">
      <c r="A56" s="5" t="s">
        <v>38</v>
      </c>
      <c r="B56" s="11" t="s">
        <v>161</v>
      </c>
      <c r="C56" s="13"/>
      <c r="D56" s="9">
        <f>'RUF WORK FOR ALL'!D385</f>
        <v>8265</v>
      </c>
      <c r="G56" s="14"/>
    </row>
    <row r="57" spans="1:7" ht="12.75">
      <c r="A57" s="5" t="s">
        <v>77</v>
      </c>
      <c r="B57" s="4" t="s">
        <v>161</v>
      </c>
      <c r="D57" s="9">
        <f>'RUF WORK FOR ALL'!D396</f>
        <v>5510</v>
      </c>
      <c r="G57" s="14"/>
    </row>
    <row r="58" spans="1:7" ht="12.75">
      <c r="A58" s="5" t="s">
        <v>217</v>
      </c>
      <c r="B58" s="4" t="s">
        <v>161</v>
      </c>
      <c r="D58" s="9">
        <f>'RUF WORK FOR ALL'!D416</f>
        <v>2755</v>
      </c>
      <c r="G58" s="14"/>
    </row>
    <row r="59" spans="1:7" ht="12.75">
      <c r="A59" s="5" t="s">
        <v>248</v>
      </c>
      <c r="B59" s="4" t="s">
        <v>161</v>
      </c>
      <c r="D59" s="9">
        <f>'RUF WORK FOR ALL'!D420</f>
        <v>2755</v>
      </c>
      <c r="G59" s="14"/>
    </row>
    <row r="60" spans="1:7" ht="12.75">
      <c r="A60" s="5" t="s">
        <v>275</v>
      </c>
      <c r="B60" s="4" t="s">
        <v>161</v>
      </c>
      <c r="D60" s="9">
        <f>'RUF WORK FOR ALL'!D426</f>
        <v>2755</v>
      </c>
      <c r="G60" s="14"/>
    </row>
    <row r="61" spans="1:7" ht="12.75">
      <c r="A61" s="5" t="s">
        <v>39</v>
      </c>
      <c r="B61" s="4" t="s">
        <v>161</v>
      </c>
      <c r="D61" s="9">
        <f>'RUF WORK FOR ALL'!D437</f>
        <v>5510</v>
      </c>
      <c r="E61" s="14"/>
      <c r="G61" s="14"/>
    </row>
    <row r="62" spans="1:7" ht="12.75">
      <c r="A62" s="5" t="s">
        <v>36</v>
      </c>
      <c r="B62" s="4" t="s">
        <v>161</v>
      </c>
      <c r="D62" s="9">
        <f>'RUF WORK FOR ALL'!D458</f>
        <v>2755</v>
      </c>
      <c r="G62" s="14"/>
    </row>
    <row r="63" spans="1:7" ht="12.75">
      <c r="A63" s="5" t="s">
        <v>41</v>
      </c>
      <c r="B63" s="4" t="s">
        <v>161</v>
      </c>
      <c r="D63" s="46">
        <f>'RUF WORK FOR ALL'!D468</f>
        <v>5510</v>
      </c>
      <c r="E63" s="14">
        <f>SUM(D56:D63)</f>
        <v>35815</v>
      </c>
      <c r="G63" s="14"/>
    </row>
    <row r="64" spans="1:7" ht="12.75">
      <c r="A64" s="5" t="s">
        <v>38</v>
      </c>
      <c r="B64" s="11" t="s">
        <v>686</v>
      </c>
      <c r="C64" s="13"/>
      <c r="D64" s="9">
        <f>'RUF WORK FOR ALL'!D389</f>
        <v>1470</v>
      </c>
      <c r="E64" s="14"/>
      <c r="G64" s="14"/>
    </row>
    <row r="65" spans="1:7" ht="12.75">
      <c r="A65" s="5" t="s">
        <v>275</v>
      </c>
      <c r="B65" s="11" t="s">
        <v>686</v>
      </c>
      <c r="D65" s="9">
        <f>'RUF WORK FOR ALL'!D433</f>
        <v>616</v>
      </c>
      <c r="E65" s="14"/>
      <c r="G65" s="14"/>
    </row>
    <row r="66" spans="1:7" ht="12.75">
      <c r="A66" s="5" t="s">
        <v>39</v>
      </c>
      <c r="B66" s="11" t="s">
        <v>686</v>
      </c>
      <c r="D66" s="9">
        <f>'RUF WORK FOR ALL'!D447</f>
        <v>23320</v>
      </c>
      <c r="E66" s="14"/>
      <c r="G66" s="14"/>
    </row>
    <row r="67" spans="1:7" ht="12.75">
      <c r="A67" s="5" t="s">
        <v>36</v>
      </c>
      <c r="B67" s="11" t="s">
        <v>686</v>
      </c>
      <c r="D67" s="9">
        <f>'RUF WORK FOR ALL'!D463</f>
        <v>2096</v>
      </c>
      <c r="E67" s="14"/>
      <c r="G67" s="14"/>
    </row>
    <row r="68" spans="1:7" ht="12.75">
      <c r="A68" s="5" t="s">
        <v>41</v>
      </c>
      <c r="B68" s="11" t="s">
        <v>686</v>
      </c>
      <c r="D68" s="46">
        <f>'RUF WORK FOR ALL'!D481</f>
        <v>10148</v>
      </c>
      <c r="E68" s="14">
        <f>SUM(D64:D68)</f>
        <v>37650</v>
      </c>
      <c r="G68" s="14"/>
    </row>
    <row r="69" spans="1:7" ht="12.75">
      <c r="A69" s="5" t="s">
        <v>77</v>
      </c>
      <c r="B69" s="4" t="s">
        <v>232</v>
      </c>
      <c r="D69" s="9">
        <f>'RUF WORK FOR ALL'!D399</f>
        <v>628804</v>
      </c>
      <c r="G69" s="14"/>
    </row>
    <row r="70" spans="1:7" ht="12.75">
      <c r="A70" s="5" t="s">
        <v>39</v>
      </c>
      <c r="B70" s="4" t="s">
        <v>232</v>
      </c>
      <c r="D70" s="9">
        <f>'RUF WORK FOR ALL'!D439</f>
        <v>365526</v>
      </c>
      <c r="G70" s="14"/>
    </row>
    <row r="71" spans="1:7" ht="12.75">
      <c r="A71" s="5" t="s">
        <v>36</v>
      </c>
      <c r="B71" s="4" t="s">
        <v>232</v>
      </c>
      <c r="D71" s="9">
        <f>'RUF WORK FOR ALL'!D459</f>
        <v>477381</v>
      </c>
      <c r="G71" s="14"/>
    </row>
    <row r="72" spans="1:7" ht="12.75">
      <c r="A72" s="5" t="s">
        <v>41</v>
      </c>
      <c r="B72" s="4" t="s">
        <v>232</v>
      </c>
      <c r="D72" s="46">
        <f>'RUF WORK FOR ALL'!D470</f>
        <v>560421</v>
      </c>
      <c r="E72" s="14">
        <f>SUM(D69:D72)</f>
        <v>2032132</v>
      </c>
      <c r="G72" s="14"/>
    </row>
    <row r="73" spans="1:7" ht="12.75">
      <c r="A73" s="5" t="s">
        <v>39</v>
      </c>
      <c r="B73" s="4" t="s">
        <v>376</v>
      </c>
      <c r="D73" s="9">
        <f>'RUF WORK FOR ALL'!D436</f>
        <v>39187</v>
      </c>
      <c r="E73" s="14"/>
      <c r="G73" s="14"/>
    </row>
    <row r="74" spans="1:7" ht="12.75">
      <c r="A74" s="5" t="s">
        <v>77</v>
      </c>
      <c r="B74" s="4" t="s">
        <v>233</v>
      </c>
      <c r="D74" s="9">
        <f>'RUF WORK FOR ALL'!D401</f>
        <v>339680</v>
      </c>
      <c r="G74" s="14"/>
    </row>
    <row r="75" spans="1:7" ht="12.75">
      <c r="A75" s="5" t="s">
        <v>39</v>
      </c>
      <c r="B75" s="4" t="s">
        <v>233</v>
      </c>
      <c r="D75" s="9">
        <f>'RUF WORK FOR ALL'!D442</f>
        <v>616258</v>
      </c>
      <c r="G75" s="14"/>
    </row>
    <row r="76" spans="1:7" ht="12.75">
      <c r="A76" s="5" t="s">
        <v>41</v>
      </c>
      <c r="B76" s="4" t="s">
        <v>233</v>
      </c>
      <c r="D76" s="46">
        <f>'RUF WORK FOR ALL'!D473</f>
        <v>131416</v>
      </c>
      <c r="E76" s="14">
        <f>SUM(D73:D76)</f>
        <v>1126541</v>
      </c>
      <c r="G76" s="14"/>
    </row>
    <row r="77" spans="1:7" ht="12.75">
      <c r="A77" s="5" t="s">
        <v>248</v>
      </c>
      <c r="B77" s="4" t="s">
        <v>172</v>
      </c>
      <c r="D77" s="9">
        <f>'RUF WORK FOR ALL'!D422</f>
        <v>160943</v>
      </c>
      <c r="G77" s="14"/>
    </row>
    <row r="78" spans="1:7" ht="12.75">
      <c r="A78" s="5" t="s">
        <v>41</v>
      </c>
      <c r="B78" s="4" t="s">
        <v>172</v>
      </c>
      <c r="D78" s="46">
        <f>'RUF WORK FOR ALL'!D474</f>
        <v>22678</v>
      </c>
      <c r="E78" s="14">
        <f>SUM(D77:D78)</f>
        <v>183621</v>
      </c>
      <c r="G78" s="14"/>
    </row>
    <row r="79" spans="1:7" ht="12.75">
      <c r="A79" s="5" t="s">
        <v>77</v>
      </c>
      <c r="B79" s="4" t="s">
        <v>234</v>
      </c>
      <c r="D79" s="9">
        <f>'RUF WORK FOR ALL'!D402</f>
        <v>72677</v>
      </c>
      <c r="E79" s="14"/>
      <c r="G79" s="14"/>
    </row>
    <row r="80" spans="1:7" ht="12.75">
      <c r="A80" s="5" t="s">
        <v>275</v>
      </c>
      <c r="B80" s="4" t="s">
        <v>234</v>
      </c>
      <c r="D80" s="9">
        <f>'RUF WORK FOR ALL'!D427</f>
        <v>245628</v>
      </c>
      <c r="E80" s="14"/>
      <c r="G80" s="14"/>
    </row>
    <row r="81" spans="1:7" ht="12.75">
      <c r="A81" s="5" t="s">
        <v>39</v>
      </c>
      <c r="B81" s="4" t="s">
        <v>234</v>
      </c>
      <c r="D81" s="9">
        <f>'RUF WORK FOR ALL'!D444</f>
        <v>123382</v>
      </c>
      <c r="E81" s="14"/>
      <c r="G81" s="14"/>
    </row>
    <row r="82" spans="1:7" ht="12.75">
      <c r="A82" s="5" t="s">
        <v>36</v>
      </c>
      <c r="B82" s="4" t="s">
        <v>234</v>
      </c>
      <c r="D82" s="9">
        <f>'RUF WORK FOR ALL'!D462</f>
        <v>8256</v>
      </c>
      <c r="E82" s="14"/>
      <c r="G82" s="14"/>
    </row>
    <row r="83" spans="1:7" ht="12.75">
      <c r="A83" s="5" t="s">
        <v>41</v>
      </c>
      <c r="B83" s="4" t="s">
        <v>234</v>
      </c>
      <c r="D83" s="46">
        <f>'RUF WORK FOR ALL'!D475</f>
        <v>47475</v>
      </c>
      <c r="E83" s="14">
        <f>SUM(D79:D83)</f>
        <v>497418</v>
      </c>
      <c r="G83" s="14"/>
    </row>
    <row r="84" spans="1:7" ht="12.75">
      <c r="A84" s="5" t="s">
        <v>41</v>
      </c>
      <c r="B84" s="4" t="s">
        <v>434</v>
      </c>
      <c r="D84" s="9">
        <f>'RUF WORK FOR ALL'!D477</f>
        <v>85623</v>
      </c>
      <c r="E84" s="14"/>
      <c r="G84" s="14"/>
    </row>
    <row r="85" spans="1:7" ht="12.75">
      <c r="A85" s="5" t="s">
        <v>39</v>
      </c>
      <c r="B85" s="4" t="s">
        <v>101</v>
      </c>
      <c r="D85" s="9">
        <f>'RUF WORK FOR ALL'!D445</f>
        <v>235000</v>
      </c>
      <c r="E85" s="14"/>
      <c r="G85" s="14"/>
    </row>
    <row r="86" spans="1:7" ht="12.75">
      <c r="A86" s="5" t="s">
        <v>77</v>
      </c>
      <c r="B86" s="4" t="s">
        <v>235</v>
      </c>
      <c r="D86" s="46">
        <f>'RUF WORK FOR ALL'!D405</f>
        <v>10000</v>
      </c>
      <c r="E86" s="14">
        <f>SUM(D84:D86)</f>
        <v>330623</v>
      </c>
      <c r="G86" s="14"/>
    </row>
    <row r="87" spans="1:7" ht="12.75">
      <c r="A87" s="5" t="s">
        <v>77</v>
      </c>
      <c r="B87" s="4" t="s">
        <v>237</v>
      </c>
      <c r="D87" s="9">
        <f>'RUF WORK FOR ALL'!D407</f>
        <v>126225</v>
      </c>
      <c r="E87" s="14"/>
      <c r="G87" s="14"/>
    </row>
    <row r="88" spans="1:7" ht="12.75">
      <c r="A88" s="5" t="s">
        <v>41</v>
      </c>
      <c r="B88" s="4" t="s">
        <v>237</v>
      </c>
      <c r="D88" s="46">
        <f>'RUF WORK FOR ALL'!D478</f>
        <v>9694</v>
      </c>
      <c r="E88" s="14">
        <f>SUM(D87:D88)</f>
        <v>135919</v>
      </c>
      <c r="G88" s="14"/>
    </row>
    <row r="89" spans="1:7" ht="12.75">
      <c r="A89" s="5" t="s">
        <v>77</v>
      </c>
      <c r="B89" s="4" t="s">
        <v>238</v>
      </c>
      <c r="D89" s="9">
        <f>'RUF WORK FOR ALL'!D408</f>
        <v>186093</v>
      </c>
      <c r="E89" s="14"/>
      <c r="G89" s="14"/>
    </row>
    <row r="90" spans="1:7" ht="12.75">
      <c r="A90" s="5" t="s">
        <v>39</v>
      </c>
      <c r="B90" s="4" t="s">
        <v>238</v>
      </c>
      <c r="D90" s="9">
        <f>'RUF WORK FOR ALL'!D448</f>
        <v>173940</v>
      </c>
      <c r="E90" s="14"/>
      <c r="G90" s="14"/>
    </row>
    <row r="91" spans="1:7" ht="12.75">
      <c r="A91" s="5" t="s">
        <v>41</v>
      </c>
      <c r="B91" s="4" t="s">
        <v>238</v>
      </c>
      <c r="D91" s="46">
        <f>'RUF WORK FOR ALL'!D482</f>
        <v>23564</v>
      </c>
      <c r="E91" s="14">
        <f>SUM(D89:D91)</f>
        <v>383597</v>
      </c>
      <c r="G91" s="14"/>
    </row>
    <row r="92" spans="1:7" ht="12.75">
      <c r="A92" s="5" t="s">
        <v>77</v>
      </c>
      <c r="B92" s="4" t="s">
        <v>239</v>
      </c>
      <c r="D92" s="9">
        <f>'RUF WORK FOR ALL'!D409</f>
        <v>735362</v>
      </c>
      <c r="E92" s="14"/>
      <c r="G92" s="14"/>
    </row>
    <row r="93" spans="1:7" ht="12.75">
      <c r="A93" s="5" t="s">
        <v>38</v>
      </c>
      <c r="B93" s="11" t="s">
        <v>102</v>
      </c>
      <c r="C93" s="13"/>
      <c r="D93" s="9">
        <f>'RUF WORK FOR ALL'!D391</f>
        <v>8820</v>
      </c>
      <c r="E93" s="14"/>
      <c r="G93" s="14"/>
    </row>
    <row r="94" spans="1:7" ht="12.75">
      <c r="A94" s="5" t="s">
        <v>217</v>
      </c>
      <c r="B94" s="4" t="s">
        <v>102</v>
      </c>
      <c r="D94" s="9">
        <f>'RUF WORK FOR ALL'!D419</f>
        <v>7124</v>
      </c>
      <c r="E94" s="14"/>
      <c r="G94" s="14"/>
    </row>
    <row r="95" spans="1:7" ht="12.75">
      <c r="A95" s="5" t="s">
        <v>39</v>
      </c>
      <c r="B95" s="4" t="s">
        <v>102</v>
      </c>
      <c r="D95" s="9">
        <f>'RUF WORK FOR ALL'!D449</f>
        <v>488114</v>
      </c>
      <c r="E95" s="14"/>
      <c r="G95" s="14"/>
    </row>
    <row r="96" spans="1:7" ht="12.75">
      <c r="A96" s="5" t="s">
        <v>36</v>
      </c>
      <c r="B96" s="4" t="s">
        <v>102</v>
      </c>
      <c r="D96" s="9">
        <f>'RUF WORK FOR ALL'!D464</f>
        <v>2690</v>
      </c>
      <c r="E96" s="14"/>
      <c r="G96" s="14"/>
    </row>
    <row r="97" spans="1:7" ht="12.75">
      <c r="A97" s="5" t="s">
        <v>41</v>
      </c>
      <c r="B97" s="4" t="s">
        <v>437</v>
      </c>
      <c r="D97" s="46">
        <f>'RUF WORK FOR ALL'!D483</f>
        <v>317499</v>
      </c>
      <c r="E97" s="14">
        <f>SUM(D92:D97)</f>
        <v>1559609</v>
      </c>
      <c r="G97" s="14"/>
    </row>
    <row r="98" spans="1:7" ht="12.75">
      <c r="A98" s="5" t="s">
        <v>217</v>
      </c>
      <c r="B98" s="4" t="s">
        <v>467</v>
      </c>
      <c r="D98" s="9">
        <f>'RUF WORK FOR ALL'!D417</f>
        <v>207520</v>
      </c>
      <c r="E98" s="14"/>
      <c r="G98" s="14"/>
    </row>
    <row r="99" spans="1:7" ht="12.75">
      <c r="A99" s="5" t="s">
        <v>39</v>
      </c>
      <c r="B99" s="4" t="s">
        <v>468</v>
      </c>
      <c r="D99" s="9">
        <f>'RUF WORK FOR ALL'!D438</f>
        <v>525511</v>
      </c>
      <c r="E99" s="14"/>
      <c r="G99" s="14"/>
    </row>
    <row r="100" spans="1:7" ht="12.75">
      <c r="A100" s="5" t="s">
        <v>41</v>
      </c>
      <c r="B100" s="4" t="s">
        <v>469</v>
      </c>
      <c r="D100" s="9">
        <f>'RUF WORK FOR ALL'!D471</f>
        <v>81793</v>
      </c>
      <c r="E100" s="14"/>
      <c r="G100" s="14"/>
    </row>
    <row r="101" spans="1:7" ht="12.75">
      <c r="A101" s="5" t="s">
        <v>36</v>
      </c>
      <c r="B101" s="4" t="s">
        <v>470</v>
      </c>
      <c r="D101" s="9">
        <f>'RUF WORK FOR ALL'!D461</f>
        <v>260195</v>
      </c>
      <c r="E101" s="14"/>
      <c r="G101" s="14"/>
    </row>
    <row r="102" spans="1:7" ht="12.75">
      <c r="A102" s="5" t="s">
        <v>248</v>
      </c>
      <c r="B102" s="4" t="s">
        <v>472</v>
      </c>
      <c r="D102" s="9">
        <f>'RUF WORK FOR ALL'!D423</f>
        <v>614157</v>
      </c>
      <c r="E102" s="14"/>
      <c r="G102" s="14"/>
    </row>
    <row r="103" spans="1:7" ht="12.75">
      <c r="A103" s="5" t="s">
        <v>77</v>
      </c>
      <c r="B103" s="4" t="s">
        <v>471</v>
      </c>
      <c r="D103" s="46">
        <f>'RUF WORK FOR ALL'!D410</f>
        <v>194649</v>
      </c>
      <c r="E103" s="14">
        <f>SUM(D98:D103)</f>
        <v>1883825</v>
      </c>
      <c r="G103" s="14"/>
    </row>
    <row r="104" spans="1:7" ht="12.75">
      <c r="A104" s="5" t="s">
        <v>41</v>
      </c>
      <c r="B104" s="4" t="s">
        <v>177</v>
      </c>
      <c r="D104" s="9">
        <f>'RUF WORK FOR ALL'!D484</f>
        <v>57630</v>
      </c>
      <c r="E104" s="14"/>
      <c r="G104" s="14"/>
    </row>
    <row r="105" spans="1:7" ht="12.75">
      <c r="A105" s="5" t="s">
        <v>39</v>
      </c>
      <c r="B105" s="4" t="s">
        <v>381</v>
      </c>
      <c r="D105" s="9">
        <f>'RUF WORK FOR ALL'!D451</f>
        <v>52181</v>
      </c>
      <c r="E105" s="14"/>
      <c r="G105" s="14"/>
    </row>
    <row r="106" spans="1:7" ht="12.75">
      <c r="A106" s="5" t="s">
        <v>77</v>
      </c>
      <c r="B106" s="4" t="s">
        <v>240</v>
      </c>
      <c r="D106" s="46">
        <f>'RUF WORK FOR ALL'!D411</f>
        <v>52644</v>
      </c>
      <c r="E106" s="14">
        <f>SUM(D104:D106)</f>
        <v>162455</v>
      </c>
      <c r="G106" s="14"/>
    </row>
    <row r="107" spans="1:7" ht="12.75">
      <c r="A107" s="5" t="s">
        <v>38</v>
      </c>
      <c r="B107" s="11" t="s">
        <v>104</v>
      </c>
      <c r="C107" s="13"/>
      <c r="D107" s="9">
        <f>'RUF WORK FOR ALL'!D393</f>
        <v>22201</v>
      </c>
      <c r="E107" s="14"/>
      <c r="G107" s="14"/>
    </row>
    <row r="108" spans="1:7" ht="12.75">
      <c r="A108" s="5" t="s">
        <v>77</v>
      </c>
      <c r="B108" s="4" t="s">
        <v>104</v>
      </c>
      <c r="D108" s="9">
        <f>'RUF WORK FOR ALL'!D412</f>
        <v>244084</v>
      </c>
      <c r="E108" s="14"/>
      <c r="G108" s="14"/>
    </row>
    <row r="109" spans="1:7" ht="12.75">
      <c r="A109" s="5" t="s">
        <v>39</v>
      </c>
      <c r="B109" s="4" t="s">
        <v>104</v>
      </c>
      <c r="D109" s="9">
        <f>'RUF WORK FOR ALL'!D453</f>
        <v>126390</v>
      </c>
      <c r="E109" s="14"/>
      <c r="G109" s="14"/>
    </row>
    <row r="110" spans="1:7" ht="12.75">
      <c r="A110" s="5" t="s">
        <v>36</v>
      </c>
      <c r="B110" s="4" t="s">
        <v>104</v>
      </c>
      <c r="D110" s="9">
        <f>'RUF WORK FOR ALL'!D465</f>
        <v>9648</v>
      </c>
      <c r="E110" s="14"/>
      <c r="G110" s="14"/>
    </row>
    <row r="111" spans="1:7" ht="12.75">
      <c r="A111" s="5" t="s">
        <v>41</v>
      </c>
      <c r="B111" s="4" t="s">
        <v>104</v>
      </c>
      <c r="D111" s="46">
        <f>'RUF WORK FOR ALL'!D485</f>
        <v>167884</v>
      </c>
      <c r="E111" s="14">
        <f>SUM(D107:D111)</f>
        <v>570207</v>
      </c>
      <c r="G111" s="14"/>
    </row>
    <row r="112" spans="1:7" ht="12.75">
      <c r="A112" s="5" t="s">
        <v>77</v>
      </c>
      <c r="B112" s="4" t="s">
        <v>231</v>
      </c>
      <c r="D112" s="9">
        <f>'RUF WORK FOR ALL'!D397</f>
        <v>6161</v>
      </c>
      <c r="G112" s="14"/>
    </row>
    <row r="113" spans="1:7" ht="12.75">
      <c r="A113" s="5" t="s">
        <v>38</v>
      </c>
      <c r="B113" s="11" t="s">
        <v>210</v>
      </c>
      <c r="C113" s="13"/>
      <c r="D113" s="9">
        <f>'RUF WORK FOR ALL'!D387</f>
        <v>20279</v>
      </c>
      <c r="E113" s="14"/>
      <c r="G113" s="14"/>
    </row>
    <row r="114" spans="1:7" ht="12.75">
      <c r="A114" s="5" t="s">
        <v>275</v>
      </c>
      <c r="B114" s="4" t="s">
        <v>281</v>
      </c>
      <c r="D114" s="9">
        <f>'RUF WORK FOR ALL'!D434</f>
        <v>724</v>
      </c>
      <c r="E114" s="14"/>
      <c r="G114" s="14"/>
    </row>
    <row r="115" spans="1:7" ht="12.75">
      <c r="A115" s="5" t="s">
        <v>39</v>
      </c>
      <c r="B115" s="4" t="s">
        <v>281</v>
      </c>
      <c r="D115" s="9">
        <f>'RUF WORK FOR ALL'!D454</f>
        <v>1244</v>
      </c>
      <c r="E115" s="14"/>
      <c r="G115" s="14"/>
    </row>
    <row r="116" spans="1:7" ht="12.75">
      <c r="A116" s="5" t="s">
        <v>36</v>
      </c>
      <c r="B116" s="4" t="s">
        <v>281</v>
      </c>
      <c r="D116" s="9">
        <f>'RUF WORK FOR ALL'!D466</f>
        <v>424</v>
      </c>
      <c r="E116" s="14"/>
      <c r="G116" s="14"/>
    </row>
    <row r="117" spans="1:7" ht="12.75">
      <c r="A117" s="5" t="s">
        <v>41</v>
      </c>
      <c r="B117" s="4" t="s">
        <v>281</v>
      </c>
      <c r="D117" s="46">
        <f>'RUF WORK FOR ALL'!D486</f>
        <v>6782</v>
      </c>
      <c r="E117" s="14">
        <f>SUM(D112:D117)</f>
        <v>35614</v>
      </c>
      <c r="G117" s="14"/>
    </row>
    <row r="118" spans="1:7" ht="12.75">
      <c r="A118" s="5" t="s">
        <v>39</v>
      </c>
      <c r="B118" s="4" t="s">
        <v>169</v>
      </c>
      <c r="D118" s="9">
        <f>'RUF WORK FOR ALL'!D455</f>
        <v>57813</v>
      </c>
      <c r="E118" s="14"/>
      <c r="G118" s="14"/>
    </row>
    <row r="119" spans="1:7" ht="12.75">
      <c r="A119" s="5" t="s">
        <v>41</v>
      </c>
      <c r="B119" s="4" t="s">
        <v>169</v>
      </c>
      <c r="D119" s="9">
        <f>'RUF WORK FOR ALL'!D487</f>
        <v>57417</v>
      </c>
      <c r="E119" s="14"/>
      <c r="G119" s="14"/>
    </row>
    <row r="120" spans="1:7" ht="12.75">
      <c r="A120" s="5" t="s">
        <v>38</v>
      </c>
      <c r="B120" s="11" t="s">
        <v>213</v>
      </c>
      <c r="C120" s="13"/>
      <c r="D120" s="9">
        <f>'RUF WORK FOR ALL'!D394</f>
        <v>68684</v>
      </c>
      <c r="E120" s="14"/>
      <c r="G120" s="14"/>
    </row>
    <row r="121" spans="1:7" ht="12.75">
      <c r="A121" s="5" t="s">
        <v>77</v>
      </c>
      <c r="B121" s="4" t="s">
        <v>213</v>
      </c>
      <c r="D121" s="9">
        <f>'RUF WORK FOR ALL'!D413</f>
        <v>98682</v>
      </c>
      <c r="E121" s="14"/>
      <c r="G121" s="14"/>
    </row>
    <row r="122" spans="1:7" ht="12.75">
      <c r="A122" s="5" t="s">
        <v>275</v>
      </c>
      <c r="B122" s="4" t="s">
        <v>213</v>
      </c>
      <c r="D122" s="9">
        <f>'RUF WORK FOR ALL'!D429</f>
        <v>3452389</v>
      </c>
      <c r="E122" s="14"/>
      <c r="G122" s="14"/>
    </row>
    <row r="123" spans="1:7" ht="12.75">
      <c r="A123" s="5" t="s">
        <v>39</v>
      </c>
      <c r="B123" s="4" t="s">
        <v>213</v>
      </c>
      <c r="D123" s="9">
        <f>'RUF WORK FOR ALL'!D456</f>
        <v>73575</v>
      </c>
      <c r="E123" s="14"/>
      <c r="G123" s="14"/>
    </row>
    <row r="124" spans="1:7" ht="12.75">
      <c r="A124" s="5" t="s">
        <v>41</v>
      </c>
      <c r="B124" s="4" t="s">
        <v>213</v>
      </c>
      <c r="D124" s="46">
        <f>'RUF WORK FOR ALL'!D488</f>
        <v>174549</v>
      </c>
      <c r="E124" s="14">
        <f>SUM(D118:D124)</f>
        <v>3983109</v>
      </c>
      <c r="G124" s="14"/>
    </row>
    <row r="125" spans="1:7" ht="12.75">
      <c r="A125" s="5" t="s">
        <v>248</v>
      </c>
      <c r="B125" s="4" t="s">
        <v>252</v>
      </c>
      <c r="D125" s="46">
        <f>'RUF WORK FOR ALL'!D424</f>
        <v>536060</v>
      </c>
      <c r="E125" s="14">
        <f>D125</f>
        <v>536060</v>
      </c>
      <c r="G125" s="14"/>
    </row>
    <row r="126" spans="1:7" ht="12.75">
      <c r="A126" s="5" t="s">
        <v>77</v>
      </c>
      <c r="B126" s="4" t="s">
        <v>241</v>
      </c>
      <c r="D126" s="9">
        <f>'RUF WORK FOR ALL'!D414</f>
        <v>19649</v>
      </c>
      <c r="E126" s="14"/>
      <c r="G126" s="14"/>
    </row>
    <row r="127" spans="1:7" ht="12.75">
      <c r="A127" s="5" t="s">
        <v>39</v>
      </c>
      <c r="B127" s="4" t="s">
        <v>241</v>
      </c>
      <c r="D127" s="46">
        <f>'RUF WORK FOR ALL'!D457</f>
        <v>114745</v>
      </c>
      <c r="E127" s="14">
        <f>SUM(D126:D127)</f>
        <v>134394</v>
      </c>
      <c r="G127" s="14"/>
    </row>
    <row r="128" spans="1:7" ht="12.75">
      <c r="A128" s="5" t="s">
        <v>77</v>
      </c>
      <c r="B128" s="4" t="s">
        <v>242</v>
      </c>
      <c r="D128" s="9">
        <f>'RUF WORK FOR ALL'!D415</f>
        <v>28775</v>
      </c>
      <c r="E128" s="14"/>
      <c r="G128" s="14"/>
    </row>
    <row r="129" spans="1:7" ht="12.75">
      <c r="A129" s="5" t="s">
        <v>275</v>
      </c>
      <c r="B129" s="4" t="s">
        <v>242</v>
      </c>
      <c r="D129" s="46">
        <f>'RUF WORK FOR ALL'!D431</f>
        <v>9050</v>
      </c>
      <c r="E129" s="14">
        <f>SUM(D128:D129)</f>
        <v>37825</v>
      </c>
      <c r="G129" s="14">
        <f>SUM(E51:E129)</f>
        <v>14374072</v>
      </c>
    </row>
    <row r="130" spans="2:7" ht="12.75">
      <c r="B130" s="1" t="s">
        <v>173</v>
      </c>
      <c r="D130" s="9"/>
      <c r="E130" s="14"/>
      <c r="G130" s="14"/>
    </row>
    <row r="131" spans="1:7" ht="12.75">
      <c r="A131" s="5" t="s">
        <v>38</v>
      </c>
      <c r="B131" s="11" t="s">
        <v>100</v>
      </c>
      <c r="C131" s="13"/>
      <c r="D131" s="46">
        <f>'RUF WORK FOR ALL'!D386</f>
        <v>1050</v>
      </c>
      <c r="E131" s="14">
        <f>D131</f>
        <v>1050</v>
      </c>
      <c r="G131" s="14"/>
    </row>
    <row r="132" spans="1:7" ht="12.75">
      <c r="A132" s="5" t="s">
        <v>77</v>
      </c>
      <c r="B132" s="4" t="s">
        <v>70</v>
      </c>
      <c r="D132" s="9">
        <f>'RUF WORK FOR ALL'!D398</f>
        <v>168707</v>
      </c>
      <c r="G132" s="14"/>
    </row>
    <row r="133" spans="1:7" ht="12.75">
      <c r="A133" s="5" t="s">
        <v>41</v>
      </c>
      <c r="B133" s="4" t="s">
        <v>70</v>
      </c>
      <c r="D133" s="46">
        <f>'RUF WORK FOR ALL'!D469</f>
        <v>7780</v>
      </c>
      <c r="E133" s="14">
        <f>SUM(D132:D133)</f>
        <v>176487</v>
      </c>
      <c r="G133" s="14"/>
    </row>
    <row r="134" spans="1:7" ht="12.75">
      <c r="A134" s="5" t="s">
        <v>39</v>
      </c>
      <c r="B134" s="4" t="s">
        <v>378</v>
      </c>
      <c r="D134" s="46">
        <f>'RUF WORK FOR ALL'!D440</f>
        <v>62421</v>
      </c>
      <c r="E134" s="14">
        <f>D134</f>
        <v>62421</v>
      </c>
      <c r="G134" s="14"/>
    </row>
    <row r="135" spans="1:7" ht="12.75">
      <c r="A135" s="5" t="s">
        <v>77</v>
      </c>
      <c r="B135" s="4" t="s">
        <v>229</v>
      </c>
      <c r="D135" s="9">
        <f>'RUF WORK FOR ALL'!D400</f>
        <v>1005</v>
      </c>
      <c r="G135" s="14"/>
    </row>
    <row r="136" spans="1:7" ht="12.75">
      <c r="A136" s="5" t="s">
        <v>217</v>
      </c>
      <c r="B136" s="4" t="s">
        <v>229</v>
      </c>
      <c r="D136" s="9">
        <f>'RUF WORK FOR ALL'!D418</f>
        <v>5125</v>
      </c>
      <c r="G136" s="14"/>
    </row>
    <row r="137" spans="1:7" ht="12.75">
      <c r="A137" s="5" t="s">
        <v>248</v>
      </c>
      <c r="B137" s="4" t="s">
        <v>229</v>
      </c>
      <c r="D137" s="9">
        <f>'RUF WORK FOR ALL'!D421</f>
        <v>130</v>
      </c>
      <c r="G137" s="14"/>
    </row>
    <row r="138" spans="1:7" ht="12.75">
      <c r="A138" s="5" t="s">
        <v>39</v>
      </c>
      <c r="B138" s="4" t="s">
        <v>229</v>
      </c>
      <c r="D138" s="9">
        <f>'RUF WORK FOR ALL'!D441</f>
        <v>2263</v>
      </c>
      <c r="G138" s="14"/>
    </row>
    <row r="139" spans="1:7" ht="12.75">
      <c r="A139" s="5" t="s">
        <v>41</v>
      </c>
      <c r="B139" s="4" t="s">
        <v>229</v>
      </c>
      <c r="D139" s="46">
        <f>'RUF WORK FOR ALL'!D472</f>
        <v>1101</v>
      </c>
      <c r="E139" s="14">
        <f>SUM(D135:D139)</f>
        <v>9624</v>
      </c>
      <c r="G139" s="14"/>
    </row>
    <row r="140" spans="1:7" ht="12.75">
      <c r="A140" s="5" t="s">
        <v>36</v>
      </c>
      <c r="B140" s="4" t="s">
        <v>410</v>
      </c>
      <c r="D140" s="46">
        <f>'RUF WORK FOR ALL'!D460</f>
        <v>2639517</v>
      </c>
      <c r="E140" s="14">
        <f aca="true" t="shared" si="0" ref="E140:E150">D140</f>
        <v>2639517</v>
      </c>
      <c r="G140" s="14"/>
    </row>
    <row r="141" spans="1:7" ht="12.75">
      <c r="A141" s="5" t="s">
        <v>39</v>
      </c>
      <c r="B141" s="4" t="s">
        <v>379</v>
      </c>
      <c r="D141" s="46">
        <f>'RUF WORK FOR ALL'!D443</f>
        <v>1819</v>
      </c>
      <c r="E141" s="14">
        <f t="shared" si="0"/>
        <v>1819</v>
      </c>
      <c r="G141" s="14"/>
    </row>
    <row r="142" spans="1:7" ht="12.75">
      <c r="A142" s="5" t="s">
        <v>77</v>
      </c>
      <c r="B142" s="4" t="s">
        <v>71</v>
      </c>
      <c r="D142" s="46">
        <f>'RUF WORK FOR ALL'!D403</f>
        <v>172440</v>
      </c>
      <c r="E142" s="14">
        <f t="shared" si="0"/>
        <v>172440</v>
      </c>
      <c r="G142" s="14"/>
    </row>
    <row r="143" spans="1:7" ht="12.75">
      <c r="A143" s="5" t="s">
        <v>77</v>
      </c>
      <c r="B143" s="4" t="s">
        <v>72</v>
      </c>
      <c r="D143" s="46">
        <f>'RUF WORK FOR ALL'!D404</f>
        <v>198563</v>
      </c>
      <c r="E143" s="14">
        <f t="shared" si="0"/>
        <v>198563</v>
      </c>
      <c r="G143" s="14"/>
    </row>
    <row r="144" spans="1:7" ht="12.75">
      <c r="A144" s="5" t="s">
        <v>41</v>
      </c>
      <c r="B144" s="4" t="s">
        <v>433</v>
      </c>
      <c r="D144" s="46">
        <f>'RUF WORK FOR ALL'!D476</f>
        <v>1155008</v>
      </c>
      <c r="E144" s="14">
        <f t="shared" si="0"/>
        <v>1155008</v>
      </c>
      <c r="G144" s="14"/>
    </row>
    <row r="145" spans="1:7" ht="12.75">
      <c r="A145" s="5" t="s">
        <v>38</v>
      </c>
      <c r="B145" s="11" t="s">
        <v>211</v>
      </c>
      <c r="C145" s="13"/>
      <c r="D145" s="46">
        <f>'RUF WORK FOR ALL'!D388</f>
        <v>13821</v>
      </c>
      <c r="E145" s="14">
        <f t="shared" si="0"/>
        <v>13821</v>
      </c>
      <c r="G145" s="14"/>
    </row>
    <row r="146" spans="1:7" ht="12.75">
      <c r="A146" s="5" t="s">
        <v>77</v>
      </c>
      <c r="B146" s="4" t="s">
        <v>236</v>
      </c>
      <c r="D146" s="46">
        <f>'RUF WORK FOR ALL'!D406</f>
        <v>4272</v>
      </c>
      <c r="E146" s="14">
        <f t="shared" si="0"/>
        <v>4272</v>
      </c>
      <c r="G146" s="14"/>
    </row>
    <row r="147" spans="1:7" ht="12.75">
      <c r="A147" s="5" t="s">
        <v>41</v>
      </c>
      <c r="B147" s="4" t="s">
        <v>435</v>
      </c>
      <c r="D147" s="46">
        <f>'RUF WORK FOR ALL'!D479</f>
        <v>4483</v>
      </c>
      <c r="E147" s="14">
        <f t="shared" si="0"/>
        <v>4483</v>
      </c>
      <c r="G147" s="14"/>
    </row>
    <row r="148" spans="1:7" ht="12.75">
      <c r="A148" s="5" t="s">
        <v>41</v>
      </c>
      <c r="B148" s="4" t="s">
        <v>436</v>
      </c>
      <c r="D148" s="46">
        <f>'RUF WORK FOR ALL'!D480</f>
        <v>17983</v>
      </c>
      <c r="E148" s="14">
        <f t="shared" si="0"/>
        <v>17983</v>
      </c>
      <c r="G148" s="14"/>
    </row>
    <row r="149" spans="1:7" ht="12.75">
      <c r="A149" s="5" t="s">
        <v>39</v>
      </c>
      <c r="B149" s="4" t="s">
        <v>380</v>
      </c>
      <c r="D149" s="46">
        <f>'RUF WORK FOR ALL'!D446</f>
        <v>63809</v>
      </c>
      <c r="E149" s="14">
        <f t="shared" si="0"/>
        <v>63809</v>
      </c>
      <c r="G149" s="14"/>
    </row>
    <row r="150" spans="1:7" ht="12.75">
      <c r="A150" s="5" t="s">
        <v>38</v>
      </c>
      <c r="B150" s="11" t="s">
        <v>212</v>
      </c>
      <c r="C150" s="13"/>
      <c r="D150" s="46">
        <f>'RUF WORK FOR ALL'!D390</f>
        <v>6666</v>
      </c>
      <c r="E150" s="14">
        <f t="shared" si="0"/>
        <v>6666</v>
      </c>
      <c r="G150" s="14"/>
    </row>
    <row r="151" spans="1:7" ht="12.75">
      <c r="A151" s="5" t="s">
        <v>38</v>
      </c>
      <c r="B151" s="11" t="s">
        <v>103</v>
      </c>
      <c r="C151" s="13"/>
      <c r="D151" s="9">
        <f>'RUF WORK FOR ALL'!D392</f>
        <v>185000</v>
      </c>
      <c r="E151" s="14"/>
      <c r="G151" s="14"/>
    </row>
    <row r="152" spans="1:7" ht="12.75">
      <c r="A152" s="5" t="s">
        <v>39</v>
      </c>
      <c r="B152" s="4" t="s">
        <v>103</v>
      </c>
      <c r="D152" s="46">
        <f>'RUF WORK FOR ALL'!D450</f>
        <v>168000</v>
      </c>
      <c r="E152" s="14">
        <f>SUM(D151:D152)</f>
        <v>353000</v>
      </c>
      <c r="G152" s="14"/>
    </row>
    <row r="153" spans="1:7" ht="12.75">
      <c r="A153" s="5" t="s">
        <v>39</v>
      </c>
      <c r="B153" s="4" t="s">
        <v>382</v>
      </c>
      <c r="D153" s="46">
        <f>'RUF WORK FOR ALL'!D452</f>
        <v>1458</v>
      </c>
      <c r="E153" s="14">
        <f>D153</f>
        <v>1458</v>
      </c>
      <c r="G153" s="14"/>
    </row>
    <row r="154" spans="1:7" ht="12.75">
      <c r="A154" s="5" t="s">
        <v>275</v>
      </c>
      <c r="B154" s="4" t="s">
        <v>279</v>
      </c>
      <c r="D154" s="46">
        <f>'RUF WORK FOR ALL'!D428</f>
        <v>1216682</v>
      </c>
      <c r="E154" s="14">
        <f>D154</f>
        <v>1216682</v>
      </c>
      <c r="G154" s="14"/>
    </row>
    <row r="155" spans="1:9" ht="12.75">
      <c r="A155" s="5" t="s">
        <v>275</v>
      </c>
      <c r="B155" s="4" t="s">
        <v>280</v>
      </c>
      <c r="D155" s="46">
        <f>'RUF WORK FOR ALL'!D430</f>
        <v>4500</v>
      </c>
      <c r="E155" s="14">
        <f>D155</f>
        <v>4500</v>
      </c>
      <c r="G155" s="14">
        <f>SUM(E131:E155)</f>
        <v>6103603</v>
      </c>
      <c r="I155" s="14"/>
    </row>
    <row r="156" spans="2:7" ht="12.75">
      <c r="B156" s="1" t="s">
        <v>336</v>
      </c>
      <c r="C156" s="2"/>
      <c r="D156" s="45"/>
      <c r="G156" s="14"/>
    </row>
    <row r="157" spans="1:7" ht="12.75">
      <c r="A157" s="5" t="s">
        <v>38</v>
      </c>
      <c r="B157" s="11" t="s">
        <v>209</v>
      </c>
      <c r="C157" s="13"/>
      <c r="D157" s="9">
        <f>'RUF WORK FOR ALL'!D596</f>
        <v>529</v>
      </c>
      <c r="E157" s="14"/>
      <c r="G157" s="14"/>
    </row>
    <row r="158" spans="1:7" ht="12.75">
      <c r="A158" s="5" t="s">
        <v>77</v>
      </c>
      <c r="B158" s="4" t="s">
        <v>209</v>
      </c>
      <c r="D158" s="9">
        <f>'RUF WORK FOR ALL'!D597</f>
        <v>5684</v>
      </c>
      <c r="G158" s="14"/>
    </row>
    <row r="159" spans="1:7" ht="12.75">
      <c r="A159" s="5" t="s">
        <v>275</v>
      </c>
      <c r="B159" s="4" t="s">
        <v>209</v>
      </c>
      <c r="D159" s="9">
        <f>'RUF WORK FOR ALL'!D599</f>
        <v>140</v>
      </c>
      <c r="G159" s="14"/>
    </row>
    <row r="160" spans="1:7" ht="12.75">
      <c r="A160" s="5" t="s">
        <v>41</v>
      </c>
      <c r="B160" s="16" t="s">
        <v>209</v>
      </c>
      <c r="C160" s="16"/>
      <c r="D160" s="46">
        <f>'RUF WORK FOR ALL'!D601</f>
        <v>532</v>
      </c>
      <c r="E160" s="14">
        <f>SUM(D157:D160)</f>
        <v>6885</v>
      </c>
      <c r="G160" s="14">
        <f>E160</f>
        <v>6885</v>
      </c>
    </row>
    <row r="161" spans="2:7" ht="12.75">
      <c r="B161" s="1" t="s">
        <v>335</v>
      </c>
      <c r="C161" s="2"/>
      <c r="D161" s="3"/>
      <c r="G161" s="14"/>
    </row>
    <row r="162" spans="1:7" ht="12.75">
      <c r="A162" s="5" t="s">
        <v>217</v>
      </c>
      <c r="B162" s="16" t="s">
        <v>179</v>
      </c>
      <c r="C162" s="3"/>
      <c r="D162" s="9">
        <f>'RUF WORK FOR ALL'!D541</f>
        <v>2954</v>
      </c>
      <c r="G162" s="14"/>
    </row>
    <row r="163" spans="1:7" ht="12.75">
      <c r="A163" s="5" t="s">
        <v>248</v>
      </c>
      <c r="B163" s="16" t="s">
        <v>179</v>
      </c>
      <c r="C163" s="3"/>
      <c r="D163" s="9">
        <f>'RUF WORK FOR ALL'!D543</f>
        <v>74466</v>
      </c>
      <c r="G163" s="14"/>
    </row>
    <row r="164" spans="1:7" ht="12.75">
      <c r="A164" s="5" t="s">
        <v>39</v>
      </c>
      <c r="B164" s="16" t="s">
        <v>179</v>
      </c>
      <c r="C164" s="3"/>
      <c r="D164" s="9">
        <f>'RUF WORK FOR ALL'!D585</f>
        <v>52865</v>
      </c>
      <c r="E164" s="14"/>
      <c r="G164" s="14"/>
    </row>
    <row r="165" spans="1:7" ht="12.75">
      <c r="A165" s="5" t="s">
        <v>36</v>
      </c>
      <c r="B165" s="16" t="s">
        <v>179</v>
      </c>
      <c r="C165" s="3"/>
      <c r="D165" s="9">
        <f>'RUF WORK FOR ALL'!D587</f>
        <v>32913</v>
      </c>
      <c r="G165" s="14"/>
    </row>
    <row r="166" spans="1:7" ht="12.75">
      <c r="A166" s="5" t="s">
        <v>41</v>
      </c>
      <c r="B166" s="16" t="s">
        <v>179</v>
      </c>
      <c r="C166" s="3"/>
      <c r="D166" s="46">
        <f>'RUF WORK FOR ALL'!D589</f>
        <v>17689</v>
      </c>
      <c r="E166" s="14">
        <f>SUM(D162:D166)</f>
        <v>180887</v>
      </c>
      <c r="G166" s="14"/>
    </row>
    <row r="167" spans="1:7" ht="12.75">
      <c r="A167" s="5" t="s">
        <v>38</v>
      </c>
      <c r="B167" s="4" t="s">
        <v>214</v>
      </c>
      <c r="D167" s="9">
        <f>'RUF WORK FOR ALL'!D538</f>
        <v>45935</v>
      </c>
      <c r="E167" s="14"/>
      <c r="G167" s="14"/>
    </row>
    <row r="168" spans="1:7" ht="12.75">
      <c r="A168" s="5" t="s">
        <v>38</v>
      </c>
      <c r="B168" s="4" t="s">
        <v>105</v>
      </c>
      <c r="D168" s="9">
        <f>'RUF WORK FOR ALL'!D539</f>
        <v>2200</v>
      </c>
      <c r="E168" s="14"/>
      <c r="G168" s="14"/>
    </row>
    <row r="169" spans="1:7" ht="12.75">
      <c r="A169" s="5" t="s">
        <v>217</v>
      </c>
      <c r="B169" s="16" t="s">
        <v>105</v>
      </c>
      <c r="C169" s="3"/>
      <c r="D169" s="9">
        <f>'RUF WORK FOR ALL'!D542</f>
        <v>4550</v>
      </c>
      <c r="E169" s="14"/>
      <c r="G169" s="14"/>
    </row>
    <row r="170" spans="1:7" ht="12.75">
      <c r="A170" s="5" t="s">
        <v>41</v>
      </c>
      <c r="B170" s="16" t="s">
        <v>105</v>
      </c>
      <c r="C170" s="3"/>
      <c r="D170" s="9">
        <f>'RUF WORK FOR ALL'!D590</f>
        <v>367614</v>
      </c>
      <c r="E170" s="14"/>
      <c r="G170" s="14"/>
    </row>
    <row r="171" spans="1:7" ht="12.75">
      <c r="A171" s="5" t="s">
        <v>39</v>
      </c>
      <c r="B171" s="16" t="s">
        <v>105</v>
      </c>
      <c r="C171" s="3"/>
      <c r="D171" s="9">
        <f>'RUF WORK FOR ALL'!D586</f>
        <v>872284</v>
      </c>
      <c r="E171" s="14"/>
      <c r="G171" s="14"/>
    </row>
    <row r="172" spans="1:7" ht="12.75">
      <c r="A172" s="5" t="s">
        <v>36</v>
      </c>
      <c r="B172" s="16" t="s">
        <v>105</v>
      </c>
      <c r="C172" s="3"/>
      <c r="D172" s="9">
        <f>'RUF WORK FOR ALL'!D588</f>
        <v>201952</v>
      </c>
      <c r="E172" s="14"/>
      <c r="G172" s="14"/>
    </row>
    <row r="173" spans="1:7" ht="12.75">
      <c r="A173" s="5" t="s">
        <v>248</v>
      </c>
      <c r="B173" s="16" t="s">
        <v>254</v>
      </c>
      <c r="C173" s="3"/>
      <c r="D173" s="9">
        <f>'RUF WORK FOR ALL'!D545</f>
        <v>1635348</v>
      </c>
      <c r="E173" s="14"/>
      <c r="G173" s="14"/>
    </row>
    <row r="174" spans="1:7" ht="12.75">
      <c r="A174" s="5" t="s">
        <v>248</v>
      </c>
      <c r="B174" s="16" t="s">
        <v>255</v>
      </c>
      <c r="C174" s="3"/>
      <c r="D174" s="9">
        <f>'RUF WORK FOR ALL'!D546</f>
        <v>57601</v>
      </c>
      <c r="G174" s="14"/>
    </row>
    <row r="175" spans="1:7" ht="12.75">
      <c r="A175" s="5" t="s">
        <v>248</v>
      </c>
      <c r="B175" s="16" t="s">
        <v>256</v>
      </c>
      <c r="C175" s="3"/>
      <c r="D175" s="9">
        <f>'RUF WORK FOR ALL'!D547</f>
        <v>97115</v>
      </c>
      <c r="G175" s="14"/>
    </row>
    <row r="176" spans="1:7" ht="12.75">
      <c r="A176" s="5" t="s">
        <v>248</v>
      </c>
      <c r="B176" s="16" t="s">
        <v>257</v>
      </c>
      <c r="C176" s="3"/>
      <c r="D176" s="9">
        <f>'RUF WORK FOR ALL'!D548</f>
        <v>33506</v>
      </c>
      <c r="G176" s="14"/>
    </row>
    <row r="177" spans="1:7" ht="12.75">
      <c r="A177" s="5" t="s">
        <v>248</v>
      </c>
      <c r="B177" s="16" t="s">
        <v>253</v>
      </c>
      <c r="C177" s="3"/>
      <c r="D177" s="9">
        <f>'RUF WORK FOR ALL'!D544</f>
        <v>73130</v>
      </c>
      <c r="G177" s="14"/>
    </row>
    <row r="178" spans="1:7" ht="12.75">
      <c r="A178" s="5" t="s">
        <v>275</v>
      </c>
      <c r="B178" s="16" t="s">
        <v>253</v>
      </c>
      <c r="C178" s="3"/>
      <c r="D178" s="9">
        <f>'RUF WORK FOR ALL'!D550</f>
        <v>33513</v>
      </c>
      <c r="G178" s="14"/>
    </row>
    <row r="179" spans="1:7" ht="12.75">
      <c r="A179" s="5" t="s">
        <v>248</v>
      </c>
      <c r="B179" s="16" t="s">
        <v>258</v>
      </c>
      <c r="C179" s="3"/>
      <c r="D179" s="9">
        <f>'RUF WORK FOR ALL'!D549</f>
        <v>2635</v>
      </c>
      <c r="E179" s="14"/>
      <c r="G179" s="14"/>
    </row>
    <row r="180" spans="1:7" ht="12.75">
      <c r="A180" s="5" t="s">
        <v>275</v>
      </c>
      <c r="B180" s="16" t="s">
        <v>283</v>
      </c>
      <c r="C180" s="3"/>
      <c r="D180" s="9">
        <f>'RUF WORK FOR ALL'!D551</f>
        <v>57181</v>
      </c>
      <c r="G180" s="14"/>
    </row>
    <row r="181" spans="1:7" ht="12.75">
      <c r="A181" s="5" t="s">
        <v>275</v>
      </c>
      <c r="B181" s="16" t="s">
        <v>285</v>
      </c>
      <c r="C181" s="3"/>
      <c r="D181" s="9">
        <f>'RUF WORK FOR ALL'!D552</f>
        <v>77375</v>
      </c>
      <c r="G181" s="14"/>
    </row>
    <row r="182" spans="1:7" ht="12.75">
      <c r="A182" s="5" t="s">
        <v>275</v>
      </c>
      <c r="B182" s="16" t="s">
        <v>284</v>
      </c>
      <c r="C182" s="3"/>
      <c r="D182" s="9">
        <f>'RUF WORK FOR ALL'!D553</f>
        <v>28032</v>
      </c>
      <c r="G182" s="14"/>
    </row>
    <row r="183" spans="1:7" ht="12.75">
      <c r="A183" s="5" t="s">
        <v>275</v>
      </c>
      <c r="B183" s="16" t="s">
        <v>286</v>
      </c>
      <c r="C183" s="3"/>
      <c r="D183" s="9">
        <f>'RUF WORK FOR ALL'!D554</f>
        <v>18542</v>
      </c>
      <c r="G183" s="14"/>
    </row>
    <row r="184" spans="1:7" ht="12.75">
      <c r="A184" s="5" t="s">
        <v>275</v>
      </c>
      <c r="B184" s="16" t="s">
        <v>287</v>
      </c>
      <c r="C184" s="3"/>
      <c r="D184" s="9">
        <f>'RUF WORK FOR ALL'!D555</f>
        <v>21935</v>
      </c>
      <c r="G184" s="14"/>
    </row>
    <row r="185" spans="1:7" ht="12.75">
      <c r="A185" s="5" t="s">
        <v>275</v>
      </c>
      <c r="B185" s="16" t="s">
        <v>288</v>
      </c>
      <c r="C185" s="3"/>
      <c r="D185" s="9">
        <f>'RUF WORK FOR ALL'!D556</f>
        <v>17433</v>
      </c>
      <c r="G185" s="14"/>
    </row>
    <row r="186" spans="1:7" ht="12.75">
      <c r="A186" s="5" t="s">
        <v>275</v>
      </c>
      <c r="B186" s="16" t="s">
        <v>289</v>
      </c>
      <c r="C186" s="3"/>
      <c r="D186" s="9">
        <f>'RUF WORK FOR ALL'!D557</f>
        <v>29255</v>
      </c>
      <c r="G186" s="14"/>
    </row>
    <row r="187" spans="1:7" ht="12.75">
      <c r="A187" s="5" t="s">
        <v>275</v>
      </c>
      <c r="B187" s="16" t="s">
        <v>290</v>
      </c>
      <c r="C187" s="3"/>
      <c r="D187" s="9">
        <f>'RUF WORK FOR ALL'!D558</f>
        <v>8113</v>
      </c>
      <c r="G187" s="14"/>
    </row>
    <row r="188" spans="1:7" ht="12.75">
      <c r="A188" s="5" t="s">
        <v>275</v>
      </c>
      <c r="B188" s="16" t="s">
        <v>291</v>
      </c>
      <c r="C188" s="3"/>
      <c r="D188" s="9">
        <f>'RUF WORK FOR ALL'!D559</f>
        <v>35856</v>
      </c>
      <c r="G188" s="14"/>
    </row>
    <row r="189" spans="1:7" ht="12.75">
      <c r="A189" s="5" t="s">
        <v>275</v>
      </c>
      <c r="B189" s="16" t="s">
        <v>292</v>
      </c>
      <c r="C189" s="3"/>
      <c r="D189" s="9">
        <f>'RUF WORK FOR ALL'!D560</f>
        <v>17910</v>
      </c>
      <c r="G189" s="14"/>
    </row>
    <row r="190" spans="1:7" ht="12.75">
      <c r="A190" s="5" t="s">
        <v>275</v>
      </c>
      <c r="B190" s="16" t="s">
        <v>293</v>
      </c>
      <c r="C190" s="3"/>
      <c r="D190" s="9">
        <f>'RUF WORK FOR ALL'!D561</f>
        <v>57060</v>
      </c>
      <c r="G190" s="14"/>
    </row>
    <row r="191" spans="1:7" ht="12.75">
      <c r="A191" s="5" t="s">
        <v>275</v>
      </c>
      <c r="B191" s="16" t="s">
        <v>294</v>
      </c>
      <c r="C191" s="3"/>
      <c r="D191" s="9">
        <f>'RUF WORK FOR ALL'!D562</f>
        <v>15000</v>
      </c>
      <c r="G191" s="14"/>
    </row>
    <row r="192" spans="1:7" ht="12.75">
      <c r="A192" s="5" t="s">
        <v>275</v>
      </c>
      <c r="B192" s="16" t="s">
        <v>295</v>
      </c>
      <c r="C192" s="3"/>
      <c r="D192" s="9">
        <f>'RUF WORK FOR ALL'!D563</f>
        <v>59957</v>
      </c>
      <c r="G192" s="14"/>
    </row>
    <row r="193" spans="1:7" ht="12.75">
      <c r="A193" s="5" t="s">
        <v>275</v>
      </c>
      <c r="B193" s="16" t="s">
        <v>296</v>
      </c>
      <c r="C193" s="3"/>
      <c r="D193" s="9">
        <f>'RUF WORK FOR ALL'!D564</f>
        <v>27116</v>
      </c>
      <c r="G193" s="14"/>
    </row>
    <row r="194" spans="1:7" ht="12.75">
      <c r="A194" s="5" t="s">
        <v>275</v>
      </c>
      <c r="B194" s="16" t="s">
        <v>308</v>
      </c>
      <c r="C194" s="3"/>
      <c r="D194" s="9">
        <f>'RUF WORK FOR ALL'!D576</f>
        <v>28906</v>
      </c>
      <c r="G194" s="14"/>
    </row>
    <row r="195" spans="1:7" ht="12.75">
      <c r="A195" s="5" t="s">
        <v>275</v>
      </c>
      <c r="B195" s="16" t="s">
        <v>297</v>
      </c>
      <c r="C195" s="3"/>
      <c r="D195" s="9">
        <f>'RUF WORK FOR ALL'!D565</f>
        <v>51882</v>
      </c>
      <c r="G195" s="14"/>
    </row>
    <row r="196" spans="1:7" ht="12.75">
      <c r="A196" s="5" t="s">
        <v>275</v>
      </c>
      <c r="B196" s="16" t="s">
        <v>298</v>
      </c>
      <c r="C196" s="3"/>
      <c r="D196" s="9">
        <f>'RUF WORK FOR ALL'!D566</f>
        <v>28536</v>
      </c>
      <c r="G196" s="14"/>
    </row>
    <row r="197" spans="1:7" ht="12.75">
      <c r="A197" s="5" t="s">
        <v>275</v>
      </c>
      <c r="B197" s="16" t="s">
        <v>299</v>
      </c>
      <c r="C197" s="3"/>
      <c r="D197" s="9">
        <f>'RUF WORK FOR ALL'!D567</f>
        <v>42689</v>
      </c>
      <c r="G197" s="14"/>
    </row>
    <row r="198" spans="1:7" ht="12.75">
      <c r="A198" s="5" t="s">
        <v>275</v>
      </c>
      <c r="B198" s="16" t="s">
        <v>300</v>
      </c>
      <c r="C198" s="3"/>
      <c r="D198" s="9">
        <f>'RUF WORK FOR ALL'!D568</f>
        <v>39084</v>
      </c>
      <c r="G198" s="14"/>
    </row>
    <row r="199" spans="1:7" ht="12.75">
      <c r="A199" s="5" t="s">
        <v>275</v>
      </c>
      <c r="B199" s="16" t="s">
        <v>301</v>
      </c>
      <c r="C199" s="3"/>
      <c r="D199" s="9">
        <f>'RUF WORK FOR ALL'!D569</f>
        <v>8465</v>
      </c>
      <c r="G199" s="14"/>
    </row>
    <row r="200" spans="1:7" ht="12.75">
      <c r="A200" s="5" t="s">
        <v>275</v>
      </c>
      <c r="B200" s="16" t="s">
        <v>302</v>
      </c>
      <c r="C200" s="3"/>
      <c r="D200" s="9">
        <f>'RUF WORK FOR ALL'!D570</f>
        <v>7907</v>
      </c>
      <c r="G200" s="14"/>
    </row>
    <row r="201" spans="1:7" ht="12.75">
      <c r="A201" s="5" t="s">
        <v>275</v>
      </c>
      <c r="B201" s="16" t="s">
        <v>303</v>
      </c>
      <c r="C201" s="3"/>
      <c r="D201" s="9">
        <f>'RUF WORK FOR ALL'!D571</f>
        <v>9701</v>
      </c>
      <c r="G201" s="14"/>
    </row>
    <row r="202" spans="1:7" ht="12.75">
      <c r="A202" s="5" t="s">
        <v>275</v>
      </c>
      <c r="B202" s="16" t="s">
        <v>304</v>
      </c>
      <c r="C202" s="3"/>
      <c r="D202" s="9">
        <f>'RUF WORK FOR ALL'!D572</f>
        <v>4606</v>
      </c>
      <c r="G202" s="14"/>
    </row>
    <row r="203" spans="1:7" ht="12.75">
      <c r="A203" s="5" t="s">
        <v>275</v>
      </c>
      <c r="B203" s="16" t="s">
        <v>305</v>
      </c>
      <c r="C203" s="3"/>
      <c r="D203" s="9">
        <f>'RUF WORK FOR ALL'!D573</f>
        <v>4607</v>
      </c>
      <c r="G203" s="14"/>
    </row>
    <row r="204" spans="1:7" ht="12.75">
      <c r="A204" s="5" t="s">
        <v>275</v>
      </c>
      <c r="B204" s="16" t="s">
        <v>306</v>
      </c>
      <c r="C204" s="3"/>
      <c r="D204" s="9">
        <f>'RUF WORK FOR ALL'!D574</f>
        <v>4977</v>
      </c>
      <c r="G204" s="14"/>
    </row>
    <row r="205" spans="1:7" ht="12.75">
      <c r="A205" s="5" t="s">
        <v>275</v>
      </c>
      <c r="B205" s="16" t="s">
        <v>309</v>
      </c>
      <c r="C205" s="3"/>
      <c r="D205" s="9">
        <f>'RUF WORK FOR ALL'!D577</f>
        <v>1583</v>
      </c>
      <c r="G205" s="14"/>
    </row>
    <row r="206" spans="1:7" ht="12.75">
      <c r="A206" s="5" t="s">
        <v>275</v>
      </c>
      <c r="B206" s="16" t="s">
        <v>310</v>
      </c>
      <c r="C206" s="3"/>
      <c r="D206" s="9">
        <f>'RUF WORK FOR ALL'!D578</f>
        <v>1757</v>
      </c>
      <c r="G206" s="14"/>
    </row>
    <row r="207" spans="1:7" ht="12.75">
      <c r="A207" s="5" t="s">
        <v>275</v>
      </c>
      <c r="B207" s="16" t="s">
        <v>312</v>
      </c>
      <c r="C207" s="3"/>
      <c r="D207" s="9">
        <f>'RUF WORK FOR ALL'!D580</f>
        <v>1742</v>
      </c>
      <c r="G207" s="14"/>
    </row>
    <row r="208" spans="1:7" ht="12.75">
      <c r="A208" s="5" t="s">
        <v>275</v>
      </c>
      <c r="B208" s="16" t="s">
        <v>307</v>
      </c>
      <c r="C208" s="3"/>
      <c r="D208" s="9">
        <f>'RUF WORK FOR ALL'!D575</f>
        <v>374</v>
      </c>
      <c r="E208" s="14"/>
      <c r="G208" s="14"/>
    </row>
    <row r="209" spans="1:7" ht="12.75">
      <c r="A209" s="5" t="s">
        <v>275</v>
      </c>
      <c r="B209" s="16" t="s">
        <v>313</v>
      </c>
      <c r="C209" s="3"/>
      <c r="D209" s="9">
        <f>'RUF WORK FOR ALL'!D581</f>
        <v>29853</v>
      </c>
      <c r="G209" s="14"/>
    </row>
    <row r="210" spans="1:7" ht="12.75">
      <c r="A210" s="5" t="s">
        <v>275</v>
      </c>
      <c r="B210" s="16" t="s">
        <v>315</v>
      </c>
      <c r="C210" s="3"/>
      <c r="D210" s="9">
        <f>'RUF WORK FOR ALL'!D583</f>
        <v>25420</v>
      </c>
      <c r="E210" s="14"/>
      <c r="G210" s="14"/>
    </row>
    <row r="211" spans="1:7" ht="12.75">
      <c r="A211" s="5" t="s">
        <v>275</v>
      </c>
      <c r="B211" s="16" t="s">
        <v>311</v>
      </c>
      <c r="C211" s="3"/>
      <c r="D211" s="9">
        <f>'RUF WORK FOR ALL'!D579</f>
        <v>100</v>
      </c>
      <c r="E211" s="14"/>
      <c r="G211" s="14"/>
    </row>
    <row r="212" spans="1:7" ht="12.75">
      <c r="A212" s="5" t="s">
        <v>275</v>
      </c>
      <c r="B212" s="16" t="s">
        <v>314</v>
      </c>
      <c r="C212" s="3"/>
      <c r="D212" s="9">
        <f>'RUF WORK FOR ALL'!D582</f>
        <v>27972</v>
      </c>
      <c r="E212" s="14"/>
      <c r="G212" s="14"/>
    </row>
    <row r="213" spans="1:7" ht="12.75">
      <c r="A213" s="5" t="s">
        <v>275</v>
      </c>
      <c r="B213" s="16" t="s">
        <v>316</v>
      </c>
      <c r="C213" s="3"/>
      <c r="D213" s="9">
        <f>'RUF WORK FOR ALL'!D584</f>
        <v>1275</v>
      </c>
      <c r="E213" s="14"/>
      <c r="G213" s="14"/>
    </row>
    <row r="214" spans="1:11" ht="12.75">
      <c r="A214" s="5" t="s">
        <v>38</v>
      </c>
      <c r="B214" s="16" t="s">
        <v>215</v>
      </c>
      <c r="C214" s="3"/>
      <c r="D214" s="46">
        <f>'RUF WORK FOR ALL'!D540</f>
        <v>21090</v>
      </c>
      <c r="E214" s="14">
        <f>SUM(D167:D214)</f>
        <v>4240674</v>
      </c>
      <c r="G214" s="14">
        <f>SUM(E165:E214)</f>
        <v>4421561</v>
      </c>
      <c r="I214" s="14"/>
      <c r="K214" s="14">
        <f>SUM(I155:I214)</f>
        <v>0</v>
      </c>
    </row>
    <row r="215" spans="2:7" ht="12.75">
      <c r="B215" s="1" t="s">
        <v>458</v>
      </c>
      <c r="D215" s="45"/>
      <c r="G215" s="14"/>
    </row>
    <row r="216" spans="1:7" ht="12.75">
      <c r="A216" s="5" t="s">
        <v>77</v>
      </c>
      <c r="B216" s="4" t="s">
        <v>144</v>
      </c>
      <c r="C216" s="2"/>
      <c r="D216" s="9">
        <f>'RUF WORK FOR ALL'!D725</f>
        <v>43510</v>
      </c>
      <c r="G216" s="14"/>
    </row>
    <row r="217" spans="1:7" ht="12.75">
      <c r="A217" s="5" t="s">
        <v>39</v>
      </c>
      <c r="B217" s="4" t="s">
        <v>144</v>
      </c>
      <c r="D217" s="46">
        <f>'RUF WORK FOR ALL'!D726</f>
        <v>5000</v>
      </c>
      <c r="E217" s="14">
        <f>SUM(D216:D217)</f>
        <v>48510</v>
      </c>
      <c r="G217" s="14">
        <f>E217</f>
        <v>48510</v>
      </c>
    </row>
    <row r="218" spans="4:7" ht="13.5" thickBot="1">
      <c r="D218" s="9"/>
      <c r="G218" s="14"/>
    </row>
    <row r="219" spans="4:7" ht="13.5" thickBot="1">
      <c r="D219" s="9"/>
      <c r="G219" s="83">
        <f>SUM(G60:G217)</f>
        <v>24954631</v>
      </c>
    </row>
    <row r="220" spans="4:7" ht="12.75">
      <c r="D220" s="9"/>
      <c r="G220" s="34"/>
    </row>
    <row r="221" spans="2:7" ht="12.75">
      <c r="B221" s="1" t="s">
        <v>334</v>
      </c>
      <c r="C221" s="2"/>
      <c r="D221" s="3"/>
      <c r="G221" s="14"/>
    </row>
    <row r="222" spans="1:7" ht="12.75">
      <c r="A222" s="5" t="s">
        <v>41</v>
      </c>
      <c r="B222" s="4" t="s">
        <v>438</v>
      </c>
      <c r="D222" s="9">
        <f>'RUF WORK FOR ALL'!D520</f>
        <v>3635</v>
      </c>
      <c r="E222" s="14"/>
      <c r="G222" s="14"/>
    </row>
    <row r="223" spans="1:7" ht="12.75">
      <c r="A223" s="5" t="s">
        <v>77</v>
      </c>
      <c r="B223" s="4" t="s">
        <v>383</v>
      </c>
      <c r="D223" s="46">
        <f>'RUF WORK FOR ALL'!D493</f>
        <v>8613</v>
      </c>
      <c r="E223" s="14">
        <f>SUM(D222:D223)</f>
        <v>12248</v>
      </c>
      <c r="G223" s="14"/>
    </row>
    <row r="224" spans="1:7" ht="12.75">
      <c r="A224" s="5" t="s">
        <v>77</v>
      </c>
      <c r="B224" s="4" t="s">
        <v>384</v>
      </c>
      <c r="D224" s="46">
        <f>'RUF WORK FOR ALL'!D494</f>
        <v>57600</v>
      </c>
      <c r="E224" s="14">
        <f>D224</f>
        <v>57600</v>
      </c>
      <c r="G224" s="14"/>
    </row>
    <row r="225" spans="1:7" ht="12.75">
      <c r="A225" s="5" t="s">
        <v>77</v>
      </c>
      <c r="B225" s="4" t="s">
        <v>385</v>
      </c>
      <c r="D225" s="46">
        <f>'RUF WORK FOR ALL'!D495</f>
        <v>81511</v>
      </c>
      <c r="E225" s="14">
        <f>D225</f>
        <v>81511</v>
      </c>
      <c r="G225" s="14"/>
    </row>
    <row r="226" spans="1:7" ht="12.75">
      <c r="A226" s="5" t="s">
        <v>39</v>
      </c>
      <c r="B226" s="4" t="s">
        <v>180</v>
      </c>
      <c r="D226" s="9">
        <f>'RUF WORK FOR ALL'!D504</f>
        <v>218959</v>
      </c>
      <c r="G226" s="14"/>
    </row>
    <row r="227" spans="1:7" ht="12.75">
      <c r="A227" s="5" t="s">
        <v>41</v>
      </c>
      <c r="B227" s="4" t="s">
        <v>180</v>
      </c>
      <c r="D227" s="9">
        <f>'RUF WORK FOR ALL'!D524</f>
        <v>277407</v>
      </c>
      <c r="G227" s="14"/>
    </row>
    <row r="228" spans="1:7" ht="12.75">
      <c r="A228" s="5" t="s">
        <v>77</v>
      </c>
      <c r="B228" s="4" t="s">
        <v>387</v>
      </c>
      <c r="D228" s="46">
        <f>'RUF WORK FOR ALL'!D497</f>
        <v>297925</v>
      </c>
      <c r="E228" s="14">
        <f>SUM(D226:D228)</f>
        <v>794291</v>
      </c>
      <c r="G228" s="14"/>
    </row>
    <row r="229" spans="1:7" ht="12.75">
      <c r="A229" s="5" t="s">
        <v>77</v>
      </c>
      <c r="B229" s="4" t="s">
        <v>181</v>
      </c>
      <c r="D229" s="9">
        <f>'RUF WORK FOR ALL'!D498</f>
        <v>187265</v>
      </c>
      <c r="E229" s="14"/>
      <c r="G229" s="14"/>
    </row>
    <row r="230" spans="1:7" ht="12.75">
      <c r="A230" s="5" t="s">
        <v>39</v>
      </c>
      <c r="B230" s="4" t="s">
        <v>181</v>
      </c>
      <c r="D230" s="9">
        <f>'RUF WORK FOR ALL'!D505</f>
        <v>87180</v>
      </c>
      <c r="E230" s="14"/>
      <c r="G230" s="14"/>
    </row>
    <row r="231" spans="1:7" ht="12.75">
      <c r="A231" s="5" t="s">
        <v>41</v>
      </c>
      <c r="B231" s="4" t="s">
        <v>181</v>
      </c>
      <c r="D231" s="46">
        <f>'RUF WORK FOR ALL'!D525</f>
        <v>540</v>
      </c>
      <c r="E231" s="14">
        <f>SUM(D229:D231)</f>
        <v>274985</v>
      </c>
      <c r="G231" s="14"/>
    </row>
    <row r="232" spans="1:7" ht="12.75">
      <c r="A232" s="5" t="s">
        <v>77</v>
      </c>
      <c r="B232" s="4" t="s">
        <v>182</v>
      </c>
      <c r="D232" s="9">
        <f>'RUF WORK FOR ALL'!D499</f>
        <v>116370</v>
      </c>
      <c r="E232" s="14"/>
      <c r="G232" s="14"/>
    </row>
    <row r="233" spans="1:7" ht="12.75">
      <c r="A233" s="5" t="s">
        <v>39</v>
      </c>
      <c r="B233" s="4" t="s">
        <v>182</v>
      </c>
      <c r="D233" s="9">
        <f>'RUF WORK FOR ALL'!D507</f>
        <v>33685</v>
      </c>
      <c r="E233" s="14"/>
      <c r="G233" s="14"/>
    </row>
    <row r="234" spans="1:7" ht="12.75">
      <c r="A234" s="5" t="s">
        <v>41</v>
      </c>
      <c r="B234" s="4" t="s">
        <v>182</v>
      </c>
      <c r="D234" s="46">
        <f>'RUF WORK FOR ALL'!D526</f>
        <v>1600</v>
      </c>
      <c r="E234" s="14">
        <f>SUM(D232:D234)</f>
        <v>151655</v>
      </c>
      <c r="G234" s="14"/>
    </row>
    <row r="235" spans="1:7" ht="12.75">
      <c r="A235" s="5" t="s">
        <v>77</v>
      </c>
      <c r="B235" s="4" t="s">
        <v>388</v>
      </c>
      <c r="D235" s="9">
        <f>'RUF WORK FOR ALL'!D500</f>
        <v>28308</v>
      </c>
      <c r="E235" s="14"/>
      <c r="G235" s="14"/>
    </row>
    <row r="236" spans="1:7" ht="12.75">
      <c r="A236" s="5" t="s">
        <v>275</v>
      </c>
      <c r="B236" s="4" t="s">
        <v>183</v>
      </c>
      <c r="D236" s="9">
        <f>'RUF WORK FOR ALL'!D432</f>
        <v>1002</v>
      </c>
      <c r="E236" s="14"/>
      <c r="G236" s="14"/>
    </row>
    <row r="237" spans="1:7" ht="12.75">
      <c r="A237" s="5" t="s">
        <v>39</v>
      </c>
      <c r="B237" s="4" t="s">
        <v>388</v>
      </c>
      <c r="D237" s="9">
        <f>'RUF WORK FOR ALL'!D508</f>
        <v>27601</v>
      </c>
      <c r="E237" s="14"/>
      <c r="G237" s="14"/>
    </row>
    <row r="238" spans="1:7" ht="12.75">
      <c r="A238" s="5" t="s">
        <v>36</v>
      </c>
      <c r="B238" s="4" t="s">
        <v>183</v>
      </c>
      <c r="D238" s="9">
        <f>'RUF WORK FOR ALL'!D637</f>
        <v>501</v>
      </c>
      <c r="E238" s="14"/>
      <c r="G238" s="14"/>
    </row>
    <row r="239" spans="1:7" ht="12.75">
      <c r="A239" s="5" t="s">
        <v>41</v>
      </c>
      <c r="B239" s="4" t="s">
        <v>388</v>
      </c>
      <c r="D239" s="46">
        <f>'RUF WORK FOR ALL'!D527</f>
        <v>32608</v>
      </c>
      <c r="E239" s="14">
        <f>SUM(D235:D239)</f>
        <v>90020</v>
      </c>
      <c r="G239" s="14"/>
    </row>
    <row r="240" spans="1:7" ht="12.75">
      <c r="A240" s="5" t="s">
        <v>77</v>
      </c>
      <c r="B240" s="4" t="s">
        <v>389</v>
      </c>
      <c r="D240" s="9">
        <f>'RUF WORK FOR ALL'!D501</f>
        <v>4286</v>
      </c>
      <c r="E240" s="14"/>
      <c r="G240" s="14"/>
    </row>
    <row r="241" spans="1:7" ht="12.75">
      <c r="A241" s="5" t="s">
        <v>39</v>
      </c>
      <c r="B241" s="4" t="s">
        <v>184</v>
      </c>
      <c r="D241" s="46">
        <f>'RUF WORK FOR ALL'!D503</f>
        <v>678851</v>
      </c>
      <c r="E241" s="14">
        <f>SUM(D240:D241)</f>
        <v>683137</v>
      </c>
      <c r="G241" s="14"/>
    </row>
    <row r="242" spans="1:7" ht="12.75">
      <c r="A242" s="5" t="s">
        <v>39</v>
      </c>
      <c r="B242" s="4" t="s">
        <v>190</v>
      </c>
      <c r="D242" s="46">
        <f>'RUF WORK FOR ALL'!D510</f>
        <v>4900</v>
      </c>
      <c r="E242" s="14">
        <f>D242</f>
        <v>4900</v>
      </c>
      <c r="G242" s="14"/>
    </row>
    <row r="243" spans="1:7" ht="12.75">
      <c r="A243" s="5" t="s">
        <v>39</v>
      </c>
      <c r="B243" s="4" t="s">
        <v>392</v>
      </c>
      <c r="D243" s="46">
        <f>'RUF WORK FOR ALL'!D511</f>
        <v>14119</v>
      </c>
      <c r="E243" s="14">
        <f>D243</f>
        <v>14119</v>
      </c>
      <c r="G243" s="14"/>
    </row>
    <row r="244" spans="1:7" ht="12.75">
      <c r="A244" s="5" t="s">
        <v>77</v>
      </c>
      <c r="B244" s="4" t="s">
        <v>474</v>
      </c>
      <c r="D244" s="9">
        <f>'RUF WORK FOR ALL'!D496</f>
        <v>4225</v>
      </c>
      <c r="E244" s="14"/>
      <c r="G244" s="14"/>
    </row>
    <row r="245" spans="1:7" ht="12.75">
      <c r="A245" s="5" t="s">
        <v>41</v>
      </c>
      <c r="B245" s="4" t="s">
        <v>473</v>
      </c>
      <c r="D245" s="46">
        <f>'RUF WORK FOR ALL'!D530</f>
        <v>522158</v>
      </c>
      <c r="E245" s="14">
        <f>SUM(D244:D245)</f>
        <v>526383</v>
      </c>
      <c r="G245" s="14"/>
    </row>
    <row r="246" spans="1:7" ht="12.75">
      <c r="A246" s="5" t="s">
        <v>41</v>
      </c>
      <c r="B246" s="4" t="s">
        <v>445</v>
      </c>
      <c r="D246" s="9">
        <f>'RUF WORK FOR ALL'!D531</f>
        <v>2220</v>
      </c>
      <c r="E246" s="14"/>
      <c r="G246" s="14"/>
    </row>
    <row r="247" spans="1:7" ht="12.75">
      <c r="A247" s="5" t="s">
        <v>41</v>
      </c>
      <c r="B247" s="4" t="s">
        <v>446</v>
      </c>
      <c r="D247" s="46">
        <f>'RUF WORK FOR ALL'!D532</f>
        <v>26903</v>
      </c>
      <c r="E247" s="14">
        <f>SUM(D246:D247)</f>
        <v>29123</v>
      </c>
      <c r="G247" s="14"/>
    </row>
    <row r="248" spans="1:7" ht="12.75">
      <c r="A248" s="5" t="s">
        <v>77</v>
      </c>
      <c r="B248" s="4" t="s">
        <v>186</v>
      </c>
      <c r="D248" s="46">
        <f>'RUF WORK FOR ALL'!D502</f>
        <v>159419</v>
      </c>
      <c r="E248" s="14">
        <f>D248</f>
        <v>159419</v>
      </c>
      <c r="G248" s="14"/>
    </row>
    <row r="249" spans="2:4" ht="12.75">
      <c r="B249" s="1" t="s">
        <v>173</v>
      </c>
      <c r="D249" s="9"/>
    </row>
    <row r="250" spans="1:7" ht="12.75">
      <c r="A250" s="5" t="s">
        <v>39</v>
      </c>
      <c r="B250" s="4" t="s">
        <v>340</v>
      </c>
      <c r="D250" s="9">
        <v>28042</v>
      </c>
      <c r="E250" s="14"/>
      <c r="G250" s="14"/>
    </row>
    <row r="251" spans="1:7" ht="12.75">
      <c r="A251" s="5" t="s">
        <v>41</v>
      </c>
      <c r="B251" s="4" t="s">
        <v>439</v>
      </c>
      <c r="D251" s="9">
        <f>'RUF WORK FOR ALL'!D521</f>
        <v>420</v>
      </c>
      <c r="E251" s="14"/>
      <c r="G251" s="14"/>
    </row>
    <row r="252" spans="1:7" ht="12.75">
      <c r="A252" s="5" t="s">
        <v>41</v>
      </c>
      <c r="B252" s="4" t="s">
        <v>440</v>
      </c>
      <c r="D252" s="9">
        <f>'RUF WORK FOR ALL'!D522</f>
        <v>17934</v>
      </c>
      <c r="E252" s="14"/>
      <c r="G252" s="14"/>
    </row>
    <row r="253" spans="1:7" ht="12.75">
      <c r="A253" s="5" t="s">
        <v>41</v>
      </c>
      <c r="B253" s="4" t="s">
        <v>441</v>
      </c>
      <c r="D253" s="9">
        <f>'RUF WORK FOR ALL'!D523</f>
        <v>50000</v>
      </c>
      <c r="E253" s="14"/>
      <c r="G253" s="14"/>
    </row>
    <row r="254" spans="1:7" ht="12.75">
      <c r="A254" s="5" t="s">
        <v>39</v>
      </c>
      <c r="B254" s="4" t="s">
        <v>341</v>
      </c>
      <c r="D254" s="9">
        <f>5571+310-4500</f>
        <v>1381</v>
      </c>
      <c r="E254" s="14"/>
      <c r="G254" s="14"/>
    </row>
    <row r="255" spans="1:7" ht="12.75">
      <c r="A255" s="5" t="s">
        <v>39</v>
      </c>
      <c r="B255" s="4" t="s">
        <v>342</v>
      </c>
      <c r="D255" s="9">
        <v>8337</v>
      </c>
      <c r="E255" s="14"/>
      <c r="G255" s="14"/>
    </row>
    <row r="256" spans="1:7" ht="12.75">
      <c r="A256" s="5" t="s">
        <v>39</v>
      </c>
      <c r="B256" s="4" t="s">
        <v>674</v>
      </c>
      <c r="D256" s="9">
        <v>7252</v>
      </c>
      <c r="E256" s="14"/>
      <c r="G256" s="14"/>
    </row>
    <row r="257" spans="1:7" ht="12.75">
      <c r="A257" s="5" t="s">
        <v>39</v>
      </c>
      <c r="B257" s="4" t="s">
        <v>675</v>
      </c>
      <c r="D257" s="9">
        <v>2912</v>
      </c>
      <c r="E257" s="14"/>
      <c r="G257" s="14"/>
    </row>
    <row r="258" spans="1:7" ht="12.75">
      <c r="A258" s="5" t="s">
        <v>39</v>
      </c>
      <c r="B258" s="4" t="s">
        <v>676</v>
      </c>
      <c r="D258" s="9">
        <v>2190</v>
      </c>
      <c r="E258" s="14"/>
      <c r="G258" s="14"/>
    </row>
    <row r="259" spans="1:7" ht="12.75">
      <c r="A259" s="5" t="s">
        <v>39</v>
      </c>
      <c r="B259" s="4" t="s">
        <v>390</v>
      </c>
      <c r="D259" s="9">
        <f>'RUF WORK FOR ALL'!D506</f>
        <v>9047</v>
      </c>
      <c r="E259" s="14"/>
      <c r="G259" s="14"/>
    </row>
    <row r="260" spans="1:7" ht="12.75">
      <c r="A260" s="5" t="s">
        <v>39</v>
      </c>
      <c r="B260" s="4" t="s">
        <v>391</v>
      </c>
      <c r="D260" s="9">
        <f>'RUF WORK FOR ALL'!D509</f>
        <v>2165</v>
      </c>
      <c r="E260" s="14"/>
      <c r="G260" s="14"/>
    </row>
    <row r="261" spans="1:7" ht="12.75">
      <c r="A261" s="5" t="s">
        <v>41</v>
      </c>
      <c r="B261" s="4" t="s">
        <v>442</v>
      </c>
      <c r="D261" s="9">
        <f>'RUF WORK FOR ALL'!D528</f>
        <v>39679</v>
      </c>
      <c r="E261" s="14"/>
      <c r="G261" s="14"/>
    </row>
    <row r="262" spans="1:7" ht="12.75">
      <c r="A262" s="5" t="s">
        <v>39</v>
      </c>
      <c r="B262" s="4" t="s">
        <v>346</v>
      </c>
      <c r="D262" s="9">
        <v>4055</v>
      </c>
      <c r="E262" s="14"/>
      <c r="G262" s="14"/>
    </row>
    <row r="263" spans="1:7" ht="12.75">
      <c r="A263" s="5" t="s">
        <v>41</v>
      </c>
      <c r="B263" s="4" t="s">
        <v>443</v>
      </c>
      <c r="D263" s="9">
        <f>'RUF WORK FOR ALL'!D529</f>
        <v>20972</v>
      </c>
      <c r="G263" s="14"/>
    </row>
    <row r="264" spans="1:9" ht="12.75">
      <c r="A264" s="5" t="s">
        <v>39</v>
      </c>
      <c r="B264" s="4" t="s">
        <v>393</v>
      </c>
      <c r="D264" s="46">
        <f>'RUF WORK FOR ALL'!D512</f>
        <v>389639</v>
      </c>
      <c r="E264" s="14">
        <f>SUM(D250:D264)</f>
        <v>584025</v>
      </c>
      <c r="G264" s="14">
        <f>SUM(E223:E264)</f>
        <v>3463416</v>
      </c>
      <c r="I264" s="14"/>
    </row>
    <row r="265" spans="4:7" ht="12.75">
      <c r="D265" s="9"/>
      <c r="G265" s="14"/>
    </row>
    <row r="266" ht="12.75">
      <c r="B266" s="1" t="s">
        <v>877</v>
      </c>
    </row>
    <row r="267" spans="1:7" ht="12.75">
      <c r="A267" s="5" t="s">
        <v>77</v>
      </c>
      <c r="B267" s="4" t="s">
        <v>394</v>
      </c>
      <c r="D267" s="9">
        <f>'RUF WORK FOR ALL'!D598</f>
        <v>114797</v>
      </c>
      <c r="E267" s="18"/>
      <c r="G267" s="14"/>
    </row>
    <row r="268" spans="1:7" ht="12.75">
      <c r="A268" s="5" t="s">
        <v>39</v>
      </c>
      <c r="B268" s="16" t="s">
        <v>394</v>
      </c>
      <c r="C268" s="16"/>
      <c r="D268" s="9">
        <f>'RUF WORK FOR ALL'!D600</f>
        <v>79282</v>
      </c>
      <c r="E268" s="16"/>
      <c r="G268" s="14"/>
    </row>
    <row r="269" spans="1:7" ht="12.75">
      <c r="A269" s="5" t="s">
        <v>41</v>
      </c>
      <c r="B269" s="16" t="s">
        <v>394</v>
      </c>
      <c r="C269" s="16"/>
      <c r="D269" s="46">
        <f>'RUF WORK FOR ALL'!D602</f>
        <v>46018</v>
      </c>
      <c r="E269" s="14">
        <f>SUM(D267:D269)</f>
        <v>240097</v>
      </c>
      <c r="G269" s="14">
        <f>E269</f>
        <v>240097</v>
      </c>
    </row>
    <row r="270" spans="2:4" ht="12.75">
      <c r="B270" s="5"/>
      <c r="C270" s="5"/>
      <c r="D270" s="5"/>
    </row>
    <row r="271" spans="2:4" ht="12.75">
      <c r="B271" s="5"/>
      <c r="C271" s="5"/>
      <c r="D271" s="5"/>
    </row>
    <row r="272" spans="2:5" ht="12.75">
      <c r="B272" s="1" t="s">
        <v>339</v>
      </c>
      <c r="C272" s="5"/>
      <c r="D272" s="3"/>
      <c r="E272" s="4"/>
    </row>
    <row r="273" spans="1:7" ht="12.75">
      <c r="A273" s="5" t="s">
        <v>77</v>
      </c>
      <c r="B273" s="4" t="s">
        <v>270</v>
      </c>
      <c r="C273" s="2"/>
      <c r="D273" s="9">
        <f>'RUF WORK FOR ALL'!D683</f>
        <v>358000</v>
      </c>
      <c r="E273" s="4"/>
      <c r="G273" s="14"/>
    </row>
    <row r="274" spans="1:7" ht="12.75">
      <c r="A274" s="5" t="s">
        <v>39</v>
      </c>
      <c r="B274" s="4" t="s">
        <v>270</v>
      </c>
      <c r="D274" s="9">
        <f>'RUF WORK FOR ALL'!D692</f>
        <v>537800</v>
      </c>
      <c r="E274" s="4"/>
      <c r="G274" s="14"/>
    </row>
    <row r="275" spans="1:7" ht="12.75">
      <c r="A275" s="5" t="s">
        <v>36</v>
      </c>
      <c r="B275" s="4" t="s">
        <v>270</v>
      </c>
      <c r="D275" s="46">
        <f>'RUF WORK FOR ALL'!D701</f>
        <v>52000</v>
      </c>
      <c r="E275" s="48">
        <f>SUM(D273:D275)</f>
        <v>947800</v>
      </c>
      <c r="G275" s="14"/>
    </row>
    <row r="276" spans="1:7" ht="12.75">
      <c r="A276" s="5" t="s">
        <v>275</v>
      </c>
      <c r="B276" s="4" t="s">
        <v>282</v>
      </c>
      <c r="D276" s="9">
        <f>'RUF WORK FOR ALL'!D690</f>
        <v>272184</v>
      </c>
      <c r="E276" s="48"/>
      <c r="G276" s="14"/>
    </row>
    <row r="277" spans="1:7" ht="12.75">
      <c r="A277" s="5" t="s">
        <v>275</v>
      </c>
      <c r="B277" s="4" t="s">
        <v>200</v>
      </c>
      <c r="D277" s="46">
        <f>'RUF WORK FOR ALL'!D691</f>
        <v>9839220</v>
      </c>
      <c r="E277" s="48">
        <f>SUM(D276:D277)</f>
        <v>10111404</v>
      </c>
      <c r="G277" s="14"/>
    </row>
    <row r="278" spans="1:7" ht="12.75">
      <c r="A278" s="5" t="s">
        <v>36</v>
      </c>
      <c r="B278" s="4" t="s">
        <v>199</v>
      </c>
      <c r="D278" s="46">
        <f>'RUF WORK FOR ALL'!D702</f>
        <v>7935650</v>
      </c>
      <c r="E278" s="14">
        <f>D278</f>
        <v>7935650</v>
      </c>
      <c r="G278" s="14"/>
    </row>
    <row r="279" spans="1:7" ht="12.75">
      <c r="A279" s="5" t="s">
        <v>41</v>
      </c>
      <c r="B279" s="4" t="s">
        <v>448</v>
      </c>
      <c r="D279" s="46">
        <f>'RUF WORK FOR ALL'!D676</f>
        <v>212287</v>
      </c>
      <c r="E279" s="48">
        <f>D279</f>
        <v>212287</v>
      </c>
      <c r="G279" s="14"/>
    </row>
    <row r="280" spans="1:7" ht="12.75">
      <c r="A280" s="5" t="s">
        <v>248</v>
      </c>
      <c r="B280" s="4" t="s">
        <v>268</v>
      </c>
      <c r="D280" s="9">
        <f>'RUF WORK FOR ALL'!D688</f>
        <v>424900</v>
      </c>
      <c r="G280" s="14"/>
    </row>
    <row r="281" spans="1:7" ht="12.75">
      <c r="A281" s="5" t="s">
        <v>39</v>
      </c>
      <c r="B281" s="4" t="s">
        <v>268</v>
      </c>
      <c r="D281" s="46">
        <f>'RUF WORK FOR ALL'!D695</f>
        <v>1588900</v>
      </c>
      <c r="E281" s="14">
        <f>SUM(D280:D281)</f>
        <v>2013800</v>
      </c>
      <c r="G281" s="14"/>
    </row>
    <row r="282" spans="1:7" ht="12.75">
      <c r="A282" s="5" t="s">
        <v>248</v>
      </c>
      <c r="B282" s="4" t="s">
        <v>269</v>
      </c>
      <c r="D282" s="9">
        <f>'RUF WORK FOR ALL'!D689</f>
        <v>6992492</v>
      </c>
      <c r="G282" s="14"/>
    </row>
    <row r="283" spans="1:7" ht="12.75">
      <c r="A283" s="5" t="s">
        <v>39</v>
      </c>
      <c r="B283" s="4" t="s">
        <v>269</v>
      </c>
      <c r="D283" s="46">
        <f>'RUF WORK FOR ALL'!D696</f>
        <v>5542500</v>
      </c>
      <c r="E283" s="14">
        <f>SUM(D282:D283)</f>
        <v>12534992</v>
      </c>
      <c r="G283" s="14"/>
    </row>
    <row r="284" spans="1:7" ht="12.75">
      <c r="A284" s="5" t="s">
        <v>77</v>
      </c>
      <c r="B284" s="4" t="s">
        <v>274</v>
      </c>
      <c r="D284" s="9">
        <f>'RUF WORK FOR ALL'!D687</f>
        <v>26012895</v>
      </c>
      <c r="E284" s="14"/>
      <c r="G284" s="14"/>
    </row>
    <row r="285" spans="1:7" ht="12.75">
      <c r="A285" s="5" t="s">
        <v>39</v>
      </c>
      <c r="B285" s="4" t="s">
        <v>274</v>
      </c>
      <c r="D285" s="9">
        <f>'RUF WORK FOR ALL'!D699</f>
        <v>16765105</v>
      </c>
      <c r="G285" s="14"/>
    </row>
    <row r="286" spans="1:7" ht="12.75">
      <c r="A286" s="5" t="s">
        <v>41</v>
      </c>
      <c r="B286" s="4" t="s">
        <v>274</v>
      </c>
      <c r="D286" s="46">
        <f>'RUF WORK FOR ALL'!D703</f>
        <v>10654500</v>
      </c>
      <c r="E286" s="14">
        <f>SUM(D284:D286)</f>
        <v>53432500</v>
      </c>
      <c r="G286" s="14"/>
    </row>
    <row r="287" spans="1:7" ht="12.75">
      <c r="A287" s="5" t="s">
        <v>77</v>
      </c>
      <c r="B287" s="4" t="s">
        <v>271</v>
      </c>
      <c r="D287" s="9">
        <f>'RUF WORK FOR ALL'!D684</f>
        <v>48300</v>
      </c>
      <c r="E287" s="4"/>
      <c r="G287" s="14"/>
    </row>
    <row r="288" spans="1:7" ht="12.75">
      <c r="A288" s="5" t="s">
        <v>39</v>
      </c>
      <c r="B288" s="4" t="s">
        <v>271</v>
      </c>
      <c r="D288" s="46">
        <f>'RUF WORK FOR ALL'!D693</f>
        <v>342850</v>
      </c>
      <c r="E288" s="48">
        <f>SUM(D287:D288)</f>
        <v>391150</v>
      </c>
      <c r="G288" s="14"/>
    </row>
    <row r="289" spans="1:7" ht="12.75">
      <c r="A289" s="5" t="s">
        <v>39</v>
      </c>
      <c r="B289" s="4" t="s">
        <v>397</v>
      </c>
      <c r="D289" s="9">
        <f>'RUF WORK FOR ALL'!D700</f>
        <v>906000</v>
      </c>
      <c r="E289" s="4"/>
      <c r="G289" s="14"/>
    </row>
    <row r="290" spans="1:7" ht="12.75">
      <c r="A290" s="5" t="s">
        <v>41</v>
      </c>
      <c r="B290" s="4" t="s">
        <v>397</v>
      </c>
      <c r="D290" s="46">
        <f>'RUF WORK FOR ALL'!D704</f>
        <v>218300</v>
      </c>
      <c r="E290" s="48">
        <f>SUM(D289:D290)</f>
        <v>1124300</v>
      </c>
      <c r="G290" s="14"/>
    </row>
    <row r="291" spans="1:7" ht="12.75">
      <c r="A291" s="5" t="s">
        <v>39</v>
      </c>
      <c r="B291" s="4" t="s">
        <v>23</v>
      </c>
      <c r="D291" s="46">
        <f>'RUF WORK FOR ALL'!D694</f>
        <v>327100</v>
      </c>
      <c r="E291" s="48">
        <f>D291</f>
        <v>327100</v>
      </c>
      <c r="G291" s="14"/>
    </row>
    <row r="292" spans="1:7" ht="12.75">
      <c r="A292" s="5" t="s">
        <v>77</v>
      </c>
      <c r="B292" s="4" t="s">
        <v>272</v>
      </c>
      <c r="D292" s="9">
        <f>'RUF WORK FOR ALL'!D685</f>
        <v>1314175</v>
      </c>
      <c r="G292" s="14"/>
    </row>
    <row r="293" spans="1:7" ht="12.75">
      <c r="A293" s="5" t="s">
        <v>39</v>
      </c>
      <c r="B293" s="4" t="s">
        <v>272</v>
      </c>
      <c r="D293" s="46">
        <f>'RUF WORK FOR ALL'!D697</f>
        <v>3515936</v>
      </c>
      <c r="E293" s="14">
        <f>SUM(D292:D293)</f>
        <v>4830111</v>
      </c>
      <c r="G293" s="14"/>
    </row>
    <row r="294" spans="1:7" ht="12.75">
      <c r="A294" s="5" t="s">
        <v>77</v>
      </c>
      <c r="B294" s="4" t="s">
        <v>273</v>
      </c>
      <c r="D294" s="9">
        <f>'RUF WORK FOR ALL'!D686</f>
        <v>210500</v>
      </c>
      <c r="E294" s="14"/>
      <c r="G294" s="14"/>
    </row>
    <row r="295" spans="1:9" ht="12.75">
      <c r="A295" s="5" t="s">
        <v>39</v>
      </c>
      <c r="B295" s="4" t="s">
        <v>273</v>
      </c>
      <c r="D295" s="46">
        <f>'RUF WORK FOR ALL'!D698</f>
        <v>313000</v>
      </c>
      <c r="E295" s="14">
        <f>SUM(D294:D295)</f>
        <v>523500</v>
      </c>
      <c r="G295" s="14">
        <f>SUM(E274:E295)</f>
        <v>94384594</v>
      </c>
      <c r="I295" s="14"/>
    </row>
    <row r="296" spans="2:4" ht="12.75">
      <c r="B296" s="1" t="s">
        <v>338</v>
      </c>
      <c r="D296" s="3"/>
    </row>
    <row r="297" spans="1:7" ht="12.75">
      <c r="A297" s="5" t="s">
        <v>41</v>
      </c>
      <c r="B297" s="4" t="s">
        <v>447</v>
      </c>
      <c r="D297" s="46">
        <f>'RUF WORK FOR ALL'!D673</f>
        <v>1996290</v>
      </c>
      <c r="E297" s="14">
        <f>D297</f>
        <v>1996290</v>
      </c>
      <c r="G297" s="14"/>
    </row>
    <row r="298" spans="1:7" ht="12.75">
      <c r="A298" s="5" t="s">
        <v>77</v>
      </c>
      <c r="B298" s="4" t="s">
        <v>107</v>
      </c>
      <c r="D298" s="9">
        <f>'RUF WORK FOR ALL'!D659</f>
        <v>233437</v>
      </c>
      <c r="E298" s="48"/>
      <c r="G298" s="14"/>
    </row>
    <row r="299" spans="1:7" ht="12.75">
      <c r="A299" s="5" t="s">
        <v>39</v>
      </c>
      <c r="B299" s="4" t="s">
        <v>107</v>
      </c>
      <c r="D299" s="9">
        <f>'RUF WORK FOR ALL'!D667</f>
        <v>597207</v>
      </c>
      <c r="E299" s="48"/>
      <c r="G299" s="14"/>
    </row>
    <row r="300" spans="1:7" ht="12.75">
      <c r="A300" s="5" t="s">
        <v>41</v>
      </c>
      <c r="B300" s="4" t="s">
        <v>107</v>
      </c>
      <c r="D300" s="46">
        <f>'RUF WORK FOR ALL'!D675</f>
        <v>532339</v>
      </c>
      <c r="E300" s="48">
        <f>SUM(D298:D300)</f>
        <v>1362983</v>
      </c>
      <c r="G300" s="14"/>
    </row>
    <row r="301" spans="1:7" ht="12.75">
      <c r="A301" s="5" t="s">
        <v>217</v>
      </c>
      <c r="B301" s="4" t="s">
        <v>413</v>
      </c>
      <c r="D301" s="9">
        <f>'RUF WORK FOR ALL'!D662</f>
        <v>5764</v>
      </c>
      <c r="E301" s="48"/>
      <c r="G301" s="14"/>
    </row>
    <row r="302" spans="1:7" ht="12.75">
      <c r="A302" s="5" t="s">
        <v>36</v>
      </c>
      <c r="B302" s="4" t="s">
        <v>413</v>
      </c>
      <c r="D302" s="46">
        <f>'RUF WORK FOR ALL'!D670</f>
        <v>11710</v>
      </c>
      <c r="E302" s="48">
        <f>SUM(D301:D302)</f>
        <v>17474</v>
      </c>
      <c r="G302" s="14"/>
    </row>
    <row r="303" spans="1:7" ht="12.75">
      <c r="A303" s="5" t="s">
        <v>36</v>
      </c>
      <c r="B303" s="4" t="s">
        <v>168</v>
      </c>
      <c r="D303" s="49">
        <f>'RUF WORK FOR ALL'!D671</f>
        <v>40</v>
      </c>
      <c r="E303" s="48">
        <f>D303</f>
        <v>40</v>
      </c>
      <c r="G303" s="14"/>
    </row>
    <row r="304" spans="1:7" ht="12.75">
      <c r="A304" s="5" t="s">
        <v>77</v>
      </c>
      <c r="B304" s="4" t="s">
        <v>396</v>
      </c>
      <c r="D304" s="9">
        <f>'RUF WORK FOR ALL'!D660</f>
        <v>659181</v>
      </c>
      <c r="E304" s="48"/>
      <c r="G304" s="14"/>
    </row>
    <row r="305" spans="1:7" ht="12.75">
      <c r="A305" s="5" t="s">
        <v>39</v>
      </c>
      <c r="B305" s="4" t="s">
        <v>396</v>
      </c>
      <c r="D305" s="9">
        <f>'RUF WORK FOR ALL'!D668</f>
        <v>398150</v>
      </c>
      <c r="E305" s="48"/>
      <c r="G305" s="14"/>
    </row>
    <row r="306" spans="1:7" ht="12.75">
      <c r="A306" s="5" t="s">
        <v>36</v>
      </c>
      <c r="B306" s="4" t="s">
        <v>396</v>
      </c>
      <c r="D306" s="9">
        <f>'RUF WORK FOR ALL'!D672</f>
        <v>60000</v>
      </c>
      <c r="E306" s="48"/>
      <c r="G306" s="14"/>
    </row>
    <row r="307" spans="1:7" ht="12.75">
      <c r="A307" s="5" t="s">
        <v>41</v>
      </c>
      <c r="B307" s="4" t="s">
        <v>396</v>
      </c>
      <c r="D307" s="46">
        <f>'RUF WORK FOR ALL'!D677</f>
        <v>34807</v>
      </c>
      <c r="E307" s="48">
        <f>SUM(D304:D307)</f>
        <v>1152138</v>
      </c>
      <c r="G307" s="14"/>
    </row>
    <row r="308" spans="1:9" ht="12.75">
      <c r="A308" s="5" t="s">
        <v>217</v>
      </c>
      <c r="B308" s="4" t="s">
        <v>247</v>
      </c>
      <c r="D308" s="46">
        <f>'RUF WORK FOR ALL'!D663</f>
        <v>201</v>
      </c>
      <c r="E308" s="48">
        <f>D308</f>
        <v>201</v>
      </c>
      <c r="G308" s="14">
        <f>SUM(E297:E308)</f>
        <v>4529126</v>
      </c>
      <c r="I308" s="14"/>
    </row>
    <row r="309" spans="4:9" ht="12.75">
      <c r="D309" s="46"/>
      <c r="E309" s="48"/>
      <c r="G309" s="14"/>
      <c r="I309" s="14"/>
    </row>
    <row r="310" spans="1:7" ht="12.75">
      <c r="A310" s="5" t="s">
        <v>41</v>
      </c>
      <c r="B310" s="4" t="s">
        <v>463</v>
      </c>
      <c r="D310" s="49">
        <v>51945</v>
      </c>
      <c r="E310" s="48">
        <f>D310</f>
        <v>51945</v>
      </c>
      <c r="G310" s="14">
        <f>E310</f>
        <v>51945</v>
      </c>
    </row>
    <row r="311" spans="4:7" ht="13.5" thickBot="1">
      <c r="D311" s="9"/>
      <c r="E311" s="48"/>
      <c r="G311" s="14"/>
    </row>
    <row r="312" spans="4:7" ht="13.5" thickBot="1">
      <c r="D312" s="9"/>
      <c r="E312" s="48"/>
      <c r="G312" s="83">
        <f>SUM(G293:G310)</f>
        <v>98965665</v>
      </c>
    </row>
    <row r="313" spans="4:7" ht="12.75">
      <c r="D313" s="9"/>
      <c r="E313" s="48"/>
      <c r="G313" s="14"/>
    </row>
    <row r="314" spans="4:7" ht="12.75">
      <c r="D314" s="9"/>
      <c r="E314" s="48"/>
      <c r="G314" s="14"/>
    </row>
    <row r="315" spans="2:4" ht="12.75">
      <c r="B315" s="1" t="s">
        <v>878</v>
      </c>
      <c r="C315" s="2"/>
      <c r="D315" s="3"/>
    </row>
    <row r="316" spans="1:7" ht="12.75">
      <c r="A316" s="16" t="s">
        <v>38</v>
      </c>
      <c r="B316" s="16" t="s">
        <v>106</v>
      </c>
      <c r="C316" s="18"/>
      <c r="D316" s="9">
        <f>'RUF WORK FOR ALL'!D656</f>
        <v>220365</v>
      </c>
      <c r="E316" s="14"/>
      <c r="G316" s="14"/>
    </row>
    <row r="317" spans="1:7" ht="12.75">
      <c r="A317" s="16" t="s">
        <v>77</v>
      </c>
      <c r="B317" s="16" t="s">
        <v>106</v>
      </c>
      <c r="C317" s="16"/>
      <c r="D317" s="9">
        <f>'RUF WORK FOR ALL'!D658</f>
        <v>163599</v>
      </c>
      <c r="G317" s="14"/>
    </row>
    <row r="318" spans="1:7" ht="12.75">
      <c r="A318" s="5" t="s">
        <v>217</v>
      </c>
      <c r="B318" s="4" t="s">
        <v>106</v>
      </c>
      <c r="D318" s="9">
        <f>'RUF WORK FOR ALL'!D661</f>
        <v>19686</v>
      </c>
      <c r="E318" s="2"/>
      <c r="G318" s="14"/>
    </row>
    <row r="319" spans="1:7" ht="12.75">
      <c r="A319" s="5" t="s">
        <v>248</v>
      </c>
      <c r="B319" s="4" t="s">
        <v>106</v>
      </c>
      <c r="D319" s="9">
        <f>'RUF WORK FOR ALL'!D664</f>
        <v>14790</v>
      </c>
      <c r="E319" s="48"/>
      <c r="G319" s="14"/>
    </row>
    <row r="320" spans="1:7" ht="12.75">
      <c r="A320" s="5" t="s">
        <v>275</v>
      </c>
      <c r="B320" s="4" t="s">
        <v>106</v>
      </c>
      <c r="D320" s="9">
        <f>'RUF WORK FOR ALL'!D665</f>
        <v>13114</v>
      </c>
      <c r="E320" s="48"/>
      <c r="G320" s="14"/>
    </row>
    <row r="321" spans="1:7" ht="12.75">
      <c r="A321" s="5" t="s">
        <v>39</v>
      </c>
      <c r="B321" s="4" t="s">
        <v>106</v>
      </c>
      <c r="D321" s="9">
        <f>'RUF WORK FOR ALL'!D666</f>
        <v>254139</v>
      </c>
      <c r="E321" s="48"/>
      <c r="G321" s="14"/>
    </row>
    <row r="322" spans="1:7" ht="12.75">
      <c r="A322" s="5" t="s">
        <v>36</v>
      </c>
      <c r="B322" s="4" t="s">
        <v>106</v>
      </c>
      <c r="D322" s="9">
        <f>'RUF WORK FOR ALL'!D669</f>
        <v>76499</v>
      </c>
      <c r="E322" s="48"/>
      <c r="G322" s="14"/>
    </row>
    <row r="323" spans="1:7" ht="12.75">
      <c r="A323" s="5" t="s">
        <v>41</v>
      </c>
      <c r="B323" s="4" t="s">
        <v>106</v>
      </c>
      <c r="D323" s="46">
        <f>'RUF WORK FOR ALL'!D674</f>
        <v>608714</v>
      </c>
      <c r="E323" s="48">
        <f>SUM(D316:D323)</f>
        <v>1370906</v>
      </c>
      <c r="G323" s="14">
        <f>E323</f>
        <v>1370906</v>
      </c>
    </row>
    <row r="324" spans="4:5" ht="12.75">
      <c r="D324" s="9"/>
      <c r="E324" s="48"/>
    </row>
    <row r="325" spans="2:5" ht="12.75">
      <c r="B325" s="1" t="s">
        <v>879</v>
      </c>
      <c r="D325" s="9"/>
      <c r="E325" s="48"/>
    </row>
    <row r="326" spans="1:9" ht="12.75">
      <c r="A326" s="16" t="s">
        <v>38</v>
      </c>
      <c r="B326" s="16" t="s">
        <v>216</v>
      </c>
      <c r="C326" s="18"/>
      <c r="D326" s="46">
        <f>'RUF WORK FOR ALL'!D657</f>
        <v>289800</v>
      </c>
      <c r="E326" s="48">
        <f>D326</f>
        <v>289800</v>
      </c>
      <c r="G326" s="14">
        <f>E326</f>
        <v>289800</v>
      </c>
      <c r="I326" s="14"/>
    </row>
    <row r="327" spans="3:5" ht="12.75">
      <c r="C327" s="5"/>
      <c r="D327" s="9"/>
      <c r="E327" s="48"/>
    </row>
    <row r="328" spans="2:4" ht="12.75">
      <c r="B328" s="5"/>
      <c r="C328" s="5"/>
      <c r="D328" s="5"/>
    </row>
    <row r="329" spans="2:4" ht="12.75">
      <c r="B329" s="5"/>
      <c r="C329" s="5"/>
      <c r="D329" s="5"/>
    </row>
    <row r="330" spans="2:4" ht="12.75">
      <c r="B330" s="5"/>
      <c r="C330" s="5"/>
      <c r="D330" s="5"/>
    </row>
    <row r="331" spans="2:4" ht="12.75">
      <c r="B331" s="5"/>
      <c r="C331" s="5"/>
      <c r="D331" s="5"/>
    </row>
    <row r="332" spans="2:4" ht="12.75">
      <c r="B332" s="5"/>
      <c r="C332" s="5"/>
      <c r="D332" s="5"/>
    </row>
    <row r="333" spans="2:4" ht="12.75">
      <c r="B333" s="5"/>
      <c r="D333" s="5"/>
    </row>
    <row r="334" ht="12.75">
      <c r="G334" s="14"/>
    </row>
    <row r="335" ht="12.75">
      <c r="G335" s="14"/>
    </row>
    <row r="336" ht="12.75">
      <c r="G336" s="14"/>
    </row>
    <row r="337" ht="12.75">
      <c r="G337" s="14"/>
    </row>
    <row r="338" ht="12.75">
      <c r="G338" s="14"/>
    </row>
    <row r="339" ht="12.75">
      <c r="G339" s="14"/>
    </row>
    <row r="340" ht="12.75">
      <c r="G340" s="14"/>
    </row>
    <row r="341" ht="12.75">
      <c r="G341" s="14"/>
    </row>
    <row r="342" ht="12.75">
      <c r="G342" s="14"/>
    </row>
    <row r="343" ht="12.75">
      <c r="G343" s="14"/>
    </row>
    <row r="344" ht="12.75">
      <c r="G344" s="14"/>
    </row>
    <row r="345" ht="12.75">
      <c r="G345" s="14"/>
    </row>
    <row r="346" ht="12.75">
      <c r="G346" s="14"/>
    </row>
    <row r="347" ht="12.75">
      <c r="G347" s="14"/>
    </row>
    <row r="348" ht="12.75">
      <c r="G348" s="14"/>
    </row>
    <row r="349" ht="12.75">
      <c r="G349" s="14"/>
    </row>
    <row r="350" ht="12.75">
      <c r="G350" s="14"/>
    </row>
    <row r="351" ht="12.75">
      <c r="G351" s="14"/>
    </row>
    <row r="352" ht="12.75">
      <c r="G352" s="14"/>
    </row>
    <row r="353" ht="12.75">
      <c r="G353" s="14"/>
    </row>
    <row r="354" ht="12.75">
      <c r="G354" s="14"/>
    </row>
    <row r="355" ht="12.75">
      <c r="G355" s="14"/>
    </row>
    <row r="356" ht="12.75">
      <c r="G356" s="14"/>
    </row>
    <row r="357" ht="12.75">
      <c r="G357" s="14"/>
    </row>
    <row r="358" ht="12.75">
      <c r="G358" s="14"/>
    </row>
    <row r="359" ht="12.75">
      <c r="G359" s="14"/>
    </row>
    <row r="360" ht="12.75">
      <c r="G360" s="14"/>
    </row>
    <row r="361" ht="12.75">
      <c r="G361" s="14"/>
    </row>
    <row r="362" ht="12.75">
      <c r="G362" s="14"/>
    </row>
    <row r="363" ht="12.75">
      <c r="G363" s="14"/>
    </row>
    <row r="364" ht="12.75">
      <c r="G364" s="14"/>
    </row>
    <row r="365" ht="12.75">
      <c r="G365" s="14"/>
    </row>
    <row r="366" ht="12.75">
      <c r="G366" s="14"/>
    </row>
    <row r="367" ht="12.75">
      <c r="G367" s="14"/>
    </row>
    <row r="368" ht="12.75">
      <c r="G368" s="14"/>
    </row>
    <row r="369" ht="12.75">
      <c r="G369" s="14"/>
    </row>
    <row r="370" ht="12.75">
      <c r="G370" s="14"/>
    </row>
    <row r="371" ht="12.75">
      <c r="G371" s="14"/>
    </row>
    <row r="372" ht="12.75">
      <c r="G372" s="14"/>
    </row>
    <row r="373" ht="12.75">
      <c r="G373" s="14"/>
    </row>
    <row r="374" ht="12.75">
      <c r="G374" s="14"/>
    </row>
    <row r="375" ht="12.75">
      <c r="G375" s="14"/>
    </row>
    <row r="376" ht="12.75">
      <c r="G376" s="14"/>
    </row>
    <row r="377" ht="12.75">
      <c r="G377" s="14"/>
    </row>
    <row r="378" ht="12.75">
      <c r="G378" s="14"/>
    </row>
    <row r="379" ht="12.75">
      <c r="G379" s="14"/>
    </row>
    <row r="380" ht="12.75">
      <c r="G380" s="14"/>
    </row>
    <row r="381" ht="12.75">
      <c r="G381" s="14"/>
    </row>
    <row r="382" ht="12.75">
      <c r="G382" s="14"/>
    </row>
    <row r="383" ht="12.75">
      <c r="G383" s="14"/>
    </row>
    <row r="384" ht="12.75">
      <c r="G384" s="14"/>
    </row>
    <row r="385" ht="12.75">
      <c r="G385" s="14"/>
    </row>
    <row r="386" ht="12.75">
      <c r="G386" s="14"/>
    </row>
    <row r="387" ht="12.75">
      <c r="G387" s="14"/>
    </row>
    <row r="388" ht="12.75">
      <c r="G388" s="14"/>
    </row>
    <row r="389" ht="12.75">
      <c r="G389" s="14"/>
    </row>
    <row r="390" ht="12.75">
      <c r="G390" s="14"/>
    </row>
    <row r="391" ht="12.75">
      <c r="G391" s="14"/>
    </row>
    <row r="392" ht="12.75">
      <c r="G392" s="14"/>
    </row>
    <row r="393" ht="12.75">
      <c r="G393" s="14"/>
    </row>
    <row r="394" ht="12.75">
      <c r="G394" s="14"/>
    </row>
    <row r="395" ht="12.75">
      <c r="G395" s="14"/>
    </row>
    <row r="396" ht="12.75">
      <c r="G396" s="14"/>
    </row>
    <row r="397" ht="12.75">
      <c r="G397" s="14"/>
    </row>
    <row r="398" ht="12.75">
      <c r="G398" s="14"/>
    </row>
    <row r="399" ht="12.75">
      <c r="G399" s="14"/>
    </row>
    <row r="400" ht="12.75">
      <c r="G400" s="14"/>
    </row>
    <row r="401" ht="12.75">
      <c r="G401" s="14"/>
    </row>
    <row r="402" ht="12.75">
      <c r="G402" s="14"/>
    </row>
    <row r="403" ht="12.75">
      <c r="G403" s="14"/>
    </row>
    <row r="404" ht="12.75">
      <c r="G404" s="14"/>
    </row>
    <row r="405" ht="12.75">
      <c r="G405" s="14"/>
    </row>
    <row r="406" ht="12.75">
      <c r="G406" s="14"/>
    </row>
    <row r="407" ht="12.75">
      <c r="G407" s="14"/>
    </row>
    <row r="408" ht="12.75">
      <c r="G408" s="14"/>
    </row>
    <row r="409" ht="12.75">
      <c r="G409" s="14"/>
    </row>
    <row r="410" ht="12.75">
      <c r="G410" s="14"/>
    </row>
    <row r="411" ht="12.75">
      <c r="G411" s="14"/>
    </row>
    <row r="412" ht="12.75">
      <c r="G412" s="14"/>
    </row>
    <row r="413" ht="12.75">
      <c r="G413" s="14"/>
    </row>
    <row r="414" ht="12.75">
      <c r="G414" s="14"/>
    </row>
    <row r="415" ht="12.75">
      <c r="G415" s="14"/>
    </row>
    <row r="416" ht="12.75">
      <c r="G416" s="14"/>
    </row>
    <row r="417" ht="12.75">
      <c r="G417" s="14"/>
    </row>
    <row r="418" ht="12.75">
      <c r="G418" s="14"/>
    </row>
    <row r="419" ht="12.75">
      <c r="G419" s="14"/>
    </row>
    <row r="420" ht="12.75">
      <c r="G420" s="14"/>
    </row>
    <row r="421" ht="12.75">
      <c r="G421" s="14"/>
    </row>
    <row r="422" ht="12.75">
      <c r="G422" s="14"/>
    </row>
    <row r="423" ht="12.75">
      <c r="G423" s="14"/>
    </row>
    <row r="424" ht="12.75">
      <c r="G424" s="14"/>
    </row>
    <row r="425" ht="12.75">
      <c r="G425" s="14"/>
    </row>
    <row r="426" ht="12.75">
      <c r="G426" s="14"/>
    </row>
    <row r="427" ht="12.75">
      <c r="G427" s="14"/>
    </row>
    <row r="428" ht="12.75">
      <c r="G428" s="14"/>
    </row>
    <row r="429" ht="12.75">
      <c r="G429" s="14"/>
    </row>
    <row r="430" ht="12.75">
      <c r="G430" s="14"/>
    </row>
    <row r="431" ht="12.75">
      <c r="G431" s="14"/>
    </row>
    <row r="432" ht="12.75">
      <c r="G432" s="14"/>
    </row>
    <row r="433" ht="12.75">
      <c r="G433" s="14"/>
    </row>
    <row r="434" ht="12.75">
      <c r="G434" s="14"/>
    </row>
    <row r="435" ht="12.75">
      <c r="G435" s="14"/>
    </row>
    <row r="436" ht="12.75">
      <c r="G436" s="14"/>
    </row>
    <row r="437" ht="12.75">
      <c r="G437" s="14"/>
    </row>
    <row r="438" ht="12.75">
      <c r="G438" s="14"/>
    </row>
    <row r="439" ht="12.75">
      <c r="G439" s="14"/>
    </row>
    <row r="440" ht="12.75">
      <c r="G440" s="14"/>
    </row>
    <row r="441" ht="12.75">
      <c r="G441" s="14"/>
    </row>
    <row r="442" ht="12.75">
      <c r="G442" s="14"/>
    </row>
    <row r="443" ht="12.75">
      <c r="G443" s="14"/>
    </row>
    <row r="444" ht="12.75">
      <c r="G444" s="14"/>
    </row>
    <row r="445" ht="12.75">
      <c r="G445" s="14"/>
    </row>
    <row r="446" ht="12.75">
      <c r="G446" s="14"/>
    </row>
    <row r="447" ht="12.75">
      <c r="G447" s="14"/>
    </row>
    <row r="448" ht="12.75">
      <c r="G448" s="14"/>
    </row>
    <row r="449" ht="12.75">
      <c r="G449" s="14"/>
    </row>
    <row r="450" ht="12.75">
      <c r="G450" s="14"/>
    </row>
    <row r="451" ht="12.75">
      <c r="G451" s="14"/>
    </row>
    <row r="452" ht="12.75">
      <c r="G452" s="14"/>
    </row>
    <row r="453" ht="12.75">
      <c r="G453" s="14"/>
    </row>
    <row r="454" ht="12.75">
      <c r="G454" s="14"/>
    </row>
    <row r="455" ht="12.75">
      <c r="G455" s="14"/>
    </row>
    <row r="456" ht="12.75">
      <c r="G456" s="14"/>
    </row>
    <row r="457" ht="12.75">
      <c r="G457" s="14"/>
    </row>
    <row r="458" ht="12.75">
      <c r="G458" s="14"/>
    </row>
    <row r="459" ht="12.75">
      <c r="G459" s="14"/>
    </row>
    <row r="460" ht="12.75">
      <c r="G460" s="14"/>
    </row>
    <row r="461" ht="12.75">
      <c r="G461" s="14"/>
    </row>
    <row r="462" ht="12.75">
      <c r="G462" s="14"/>
    </row>
    <row r="463" ht="12.75">
      <c r="G463" s="14"/>
    </row>
    <row r="464" ht="12.75">
      <c r="G464" s="14"/>
    </row>
    <row r="465" ht="12.75">
      <c r="G465" s="14"/>
    </row>
    <row r="466" ht="12.75">
      <c r="G466" s="14"/>
    </row>
    <row r="467" ht="12.75">
      <c r="G467" s="14"/>
    </row>
    <row r="468" ht="12.75">
      <c r="G468" s="14"/>
    </row>
    <row r="469" ht="12.75">
      <c r="G469" s="14"/>
    </row>
    <row r="470" ht="12.75">
      <c r="G470" s="14"/>
    </row>
    <row r="471" ht="12.75">
      <c r="G471" s="14"/>
    </row>
    <row r="472" ht="12.75">
      <c r="G472" s="14"/>
    </row>
    <row r="473" ht="12.75">
      <c r="G473" s="14"/>
    </row>
    <row r="474" ht="12.75">
      <c r="G474" s="14"/>
    </row>
    <row r="475" ht="12.75">
      <c r="G475" s="14"/>
    </row>
    <row r="476" ht="12.75">
      <c r="G476" s="14"/>
    </row>
    <row r="477" ht="12.75">
      <c r="G477" s="14"/>
    </row>
    <row r="478" ht="12.75">
      <c r="G478" s="14"/>
    </row>
    <row r="479" ht="12.75">
      <c r="G479" s="14"/>
    </row>
    <row r="480" ht="12.75">
      <c r="G480" s="14"/>
    </row>
    <row r="481" ht="12.75">
      <c r="G481" s="14"/>
    </row>
    <row r="482" ht="12.75">
      <c r="G482" s="14"/>
    </row>
    <row r="483" ht="12.75">
      <c r="G483" s="14"/>
    </row>
    <row r="484" ht="12.75">
      <c r="G484" s="14"/>
    </row>
    <row r="485" ht="12.75">
      <c r="G485" s="14"/>
    </row>
    <row r="486" ht="12.75">
      <c r="G486" s="14"/>
    </row>
    <row r="487" ht="12.75">
      <c r="G487" s="14"/>
    </row>
    <row r="488" ht="12.75">
      <c r="G488" s="14"/>
    </row>
    <row r="489" ht="12.75">
      <c r="G489" s="14"/>
    </row>
    <row r="490" ht="12.75">
      <c r="G490" s="14"/>
    </row>
    <row r="491" ht="12.75">
      <c r="G491" s="14"/>
    </row>
    <row r="492" ht="12.75">
      <c r="G492" s="14"/>
    </row>
    <row r="493" ht="12.75">
      <c r="G493" s="14"/>
    </row>
    <row r="494" ht="12.75">
      <c r="G494" s="14"/>
    </row>
    <row r="495" ht="12.75">
      <c r="G495" s="14"/>
    </row>
    <row r="496" ht="12.75">
      <c r="G496" s="14"/>
    </row>
    <row r="497" ht="12.75">
      <c r="G497" s="14"/>
    </row>
    <row r="498" ht="12.75">
      <c r="G498" s="14"/>
    </row>
    <row r="499" ht="12.75">
      <c r="G499" s="14"/>
    </row>
    <row r="500" ht="12.75">
      <c r="G500" s="14"/>
    </row>
    <row r="501" ht="12.75">
      <c r="G501" s="14"/>
    </row>
    <row r="502" ht="12.75">
      <c r="G502" s="14"/>
    </row>
    <row r="503" ht="12.75">
      <c r="G503" s="14"/>
    </row>
    <row r="504" ht="12.75">
      <c r="G504" s="14"/>
    </row>
    <row r="505" ht="12.75">
      <c r="G505" s="14"/>
    </row>
    <row r="506" ht="12.75">
      <c r="G506" s="14"/>
    </row>
    <row r="507" ht="12.75">
      <c r="G507" s="14"/>
    </row>
    <row r="508" ht="12.75">
      <c r="G508" s="14"/>
    </row>
    <row r="509" ht="12.75">
      <c r="G509" s="14"/>
    </row>
    <row r="510" ht="12.75">
      <c r="G510" s="14"/>
    </row>
    <row r="511" ht="12.75">
      <c r="G511" s="14"/>
    </row>
    <row r="512" ht="12.75">
      <c r="G512" s="14"/>
    </row>
    <row r="513" ht="12.75">
      <c r="G513" s="14"/>
    </row>
    <row r="514" ht="12.75">
      <c r="G514" s="14"/>
    </row>
    <row r="515" ht="12.75">
      <c r="G515" s="14"/>
    </row>
    <row r="516" ht="12.75">
      <c r="G516" s="14"/>
    </row>
    <row r="517" ht="12.75">
      <c r="G517" s="14"/>
    </row>
    <row r="518" ht="12.75">
      <c r="G518" s="14"/>
    </row>
    <row r="519" ht="12.75">
      <c r="G519" s="14"/>
    </row>
    <row r="520" ht="12.75">
      <c r="G520" s="14"/>
    </row>
    <row r="521" ht="12.75">
      <c r="G521" s="14"/>
    </row>
    <row r="522" ht="12.75">
      <c r="G522" s="14"/>
    </row>
    <row r="523" ht="12.75">
      <c r="G523" s="14"/>
    </row>
    <row r="524" ht="12.75">
      <c r="G524" s="14"/>
    </row>
    <row r="525" ht="12.75">
      <c r="G525" s="14"/>
    </row>
    <row r="526" ht="12.75">
      <c r="G526" s="14"/>
    </row>
    <row r="527" ht="12.75">
      <c r="G527" s="14"/>
    </row>
    <row r="528" ht="12.75">
      <c r="G528" s="14"/>
    </row>
    <row r="529" ht="12.75">
      <c r="G529" s="14"/>
    </row>
    <row r="530" ht="12.75">
      <c r="G530" s="14"/>
    </row>
    <row r="531" ht="12.75">
      <c r="G531" s="14"/>
    </row>
    <row r="532" ht="12.75">
      <c r="G532" s="14"/>
    </row>
    <row r="533" ht="12.75">
      <c r="G533" s="14"/>
    </row>
    <row r="534" ht="12.75">
      <c r="G534" s="14"/>
    </row>
    <row r="535" ht="12.75">
      <c r="G535" s="14"/>
    </row>
    <row r="536" ht="12.75">
      <c r="G536" s="14"/>
    </row>
    <row r="537" ht="12.75">
      <c r="G537" s="14"/>
    </row>
    <row r="538" ht="12.75">
      <c r="G538" s="14"/>
    </row>
    <row r="539" ht="12.75">
      <c r="G539" s="14"/>
    </row>
    <row r="540" ht="12.75">
      <c r="G540" s="14"/>
    </row>
    <row r="541" ht="12.75">
      <c r="G541" s="14"/>
    </row>
    <row r="542" ht="12.75">
      <c r="G542" s="14"/>
    </row>
    <row r="543" ht="12.75">
      <c r="G543" s="14"/>
    </row>
    <row r="544" ht="12.75">
      <c r="G544" s="14"/>
    </row>
    <row r="545" ht="12.75">
      <c r="G545" s="14"/>
    </row>
    <row r="546" ht="12.75">
      <c r="G546" s="14"/>
    </row>
    <row r="547" ht="12.75">
      <c r="G547" s="14"/>
    </row>
    <row r="548" ht="12.75">
      <c r="G548" s="14"/>
    </row>
    <row r="549" ht="12.75">
      <c r="G549" s="14"/>
    </row>
    <row r="550" ht="12.75">
      <c r="G550" s="14"/>
    </row>
    <row r="551" ht="12.75">
      <c r="G551" s="14"/>
    </row>
    <row r="552" ht="12.75">
      <c r="G552" s="14"/>
    </row>
    <row r="553" ht="12.75">
      <c r="G553" s="14"/>
    </row>
    <row r="554" ht="12.75">
      <c r="G554" s="14"/>
    </row>
    <row r="555" ht="12.75">
      <c r="G555" s="14"/>
    </row>
    <row r="556" ht="12.75">
      <c r="G556" s="14"/>
    </row>
    <row r="557" ht="12.75">
      <c r="G557" s="14"/>
    </row>
    <row r="558" ht="12.75">
      <c r="G558" s="14"/>
    </row>
    <row r="559" ht="12.75">
      <c r="G559" s="14"/>
    </row>
    <row r="560" ht="12.75">
      <c r="G560" s="14"/>
    </row>
    <row r="561" ht="12.75">
      <c r="G561" s="14"/>
    </row>
    <row r="562" ht="12.75">
      <c r="G562" s="14"/>
    </row>
    <row r="563" ht="12.75">
      <c r="G563" s="14"/>
    </row>
    <row r="564" ht="12.75">
      <c r="G564" s="14"/>
    </row>
    <row r="565" ht="12.75">
      <c r="G565" s="14"/>
    </row>
    <row r="566" ht="12.75">
      <c r="G566" s="14"/>
    </row>
    <row r="567" ht="12.75">
      <c r="G567" s="14"/>
    </row>
    <row r="568" ht="12.75">
      <c r="G568" s="14"/>
    </row>
    <row r="569" ht="12.75">
      <c r="G569" s="14"/>
    </row>
    <row r="570" ht="12.75">
      <c r="G570" s="14"/>
    </row>
    <row r="571" ht="12.75">
      <c r="G571" s="14"/>
    </row>
    <row r="572" ht="12.75">
      <c r="G572" s="14"/>
    </row>
    <row r="573" ht="12.75">
      <c r="G573" s="14"/>
    </row>
    <row r="574" ht="12.75">
      <c r="G574" s="14"/>
    </row>
    <row r="575" ht="12.75">
      <c r="G575" s="14"/>
    </row>
    <row r="576" ht="12.75">
      <c r="G576" s="14"/>
    </row>
    <row r="577" ht="12.75">
      <c r="G577" s="14"/>
    </row>
    <row r="578" ht="12.75">
      <c r="G578" s="14"/>
    </row>
    <row r="579" ht="12.75">
      <c r="G579" s="14"/>
    </row>
    <row r="580" ht="12.75">
      <c r="G580" s="14"/>
    </row>
    <row r="581" ht="12.75">
      <c r="G581" s="14"/>
    </row>
    <row r="582" ht="12.75">
      <c r="G582" s="14"/>
    </row>
    <row r="583" ht="12.75">
      <c r="G583" s="14"/>
    </row>
    <row r="584" ht="12.75">
      <c r="G584" s="14"/>
    </row>
    <row r="585" ht="12.75">
      <c r="G585" s="14"/>
    </row>
    <row r="586" ht="12.75">
      <c r="G586" s="14"/>
    </row>
    <row r="587" ht="12.75">
      <c r="G587" s="14"/>
    </row>
    <row r="588" ht="12.75">
      <c r="G588" s="14"/>
    </row>
    <row r="589" ht="12.75">
      <c r="G589" s="14"/>
    </row>
    <row r="590" ht="12.75">
      <c r="G590" s="14"/>
    </row>
    <row r="591" ht="12.75">
      <c r="G591" s="14"/>
    </row>
    <row r="592" ht="12.75">
      <c r="G592" s="14"/>
    </row>
    <row r="593" ht="12.75">
      <c r="G593" s="14"/>
    </row>
    <row r="594" ht="12.75">
      <c r="G594" s="14"/>
    </row>
    <row r="595" ht="12.75">
      <c r="G595" s="14"/>
    </row>
    <row r="596" ht="12.75">
      <c r="G596" s="14"/>
    </row>
    <row r="597" ht="12.75">
      <c r="G597" s="14"/>
    </row>
    <row r="598" ht="12.75">
      <c r="G598" s="14"/>
    </row>
    <row r="599" ht="12.75">
      <c r="G599" s="14"/>
    </row>
    <row r="600" ht="12.75">
      <c r="G600" s="14"/>
    </row>
    <row r="601" ht="12.75">
      <c r="G601" s="14"/>
    </row>
    <row r="602" ht="12.75">
      <c r="G602" s="14"/>
    </row>
    <row r="603" ht="12.75">
      <c r="G603" s="14"/>
    </row>
    <row r="604" ht="12.75">
      <c r="G604" s="14"/>
    </row>
    <row r="605" ht="12.75">
      <c r="G605" s="14"/>
    </row>
    <row r="606" ht="12.75">
      <c r="G606" s="14"/>
    </row>
    <row r="607" ht="12.75">
      <c r="G607" s="14"/>
    </row>
    <row r="608" ht="12.75">
      <c r="G608" s="14"/>
    </row>
    <row r="609" ht="12.75">
      <c r="G609" s="14"/>
    </row>
    <row r="610" ht="12.75">
      <c r="G610" s="14"/>
    </row>
    <row r="611" ht="12.75">
      <c r="G611" s="14"/>
    </row>
    <row r="612" ht="12.75">
      <c r="G612" s="14"/>
    </row>
    <row r="613" ht="12.75">
      <c r="G613" s="14"/>
    </row>
    <row r="614" ht="12.75">
      <c r="G614" s="14"/>
    </row>
    <row r="615" ht="12.75">
      <c r="G615" s="14"/>
    </row>
    <row r="616" ht="12.75">
      <c r="G616" s="14"/>
    </row>
    <row r="617" ht="12.75">
      <c r="G617" s="14"/>
    </row>
    <row r="618" ht="12.75">
      <c r="G618" s="14"/>
    </row>
    <row r="619" ht="12.75">
      <c r="G619" s="14"/>
    </row>
    <row r="620" ht="12.75">
      <c r="G620" s="14"/>
    </row>
    <row r="621" ht="12.75">
      <c r="G621" s="14"/>
    </row>
    <row r="622" ht="12.75">
      <c r="G622" s="14"/>
    </row>
    <row r="623" ht="12.75">
      <c r="G623" s="14"/>
    </row>
    <row r="624" ht="12.75">
      <c r="G624" s="14"/>
    </row>
    <row r="625" ht="12.75">
      <c r="G625" s="14"/>
    </row>
    <row r="626" ht="12.75">
      <c r="G626" s="14"/>
    </row>
    <row r="627" ht="12.75">
      <c r="G627" s="14"/>
    </row>
    <row r="628" ht="12.75">
      <c r="G628" s="14"/>
    </row>
    <row r="629" ht="12.75">
      <c r="G629" s="14"/>
    </row>
    <row r="630" ht="12.75">
      <c r="G630" s="14"/>
    </row>
    <row r="631" ht="12.75">
      <c r="G631" s="14"/>
    </row>
    <row r="632" ht="12.75">
      <c r="G632" s="14"/>
    </row>
    <row r="633" ht="12.75">
      <c r="G633" s="14"/>
    </row>
    <row r="634" ht="12.75">
      <c r="G634" s="14"/>
    </row>
    <row r="635" ht="12.75">
      <c r="G635" s="14"/>
    </row>
    <row r="636" ht="12.75">
      <c r="G636" s="14"/>
    </row>
    <row r="637" ht="12.75">
      <c r="G637" s="14"/>
    </row>
    <row r="638" ht="12.75">
      <c r="G638" s="14"/>
    </row>
    <row r="639" ht="12.75">
      <c r="G639" s="14"/>
    </row>
    <row r="640" ht="12.75">
      <c r="G640" s="14"/>
    </row>
    <row r="641" ht="12.75">
      <c r="G641" s="14"/>
    </row>
    <row r="642" ht="12.75">
      <c r="G642" s="14"/>
    </row>
    <row r="643" ht="12.75">
      <c r="G643" s="14"/>
    </row>
    <row r="644" ht="12.75">
      <c r="G644" s="14"/>
    </row>
    <row r="645" ht="12.75">
      <c r="G645" s="14"/>
    </row>
    <row r="646" ht="12.75">
      <c r="G646" s="14"/>
    </row>
    <row r="647" ht="12.75">
      <c r="G647" s="14"/>
    </row>
    <row r="648" ht="12.75">
      <c r="G648" s="14"/>
    </row>
    <row r="649" ht="12.75">
      <c r="G649" s="14"/>
    </row>
    <row r="650" ht="12.75">
      <c r="G650" s="14"/>
    </row>
    <row r="651" ht="12.75">
      <c r="G651" s="14"/>
    </row>
    <row r="652" ht="12.75">
      <c r="G652" s="14"/>
    </row>
    <row r="653" ht="12.75">
      <c r="G653" s="14"/>
    </row>
    <row r="654" ht="12.75">
      <c r="G654" s="14"/>
    </row>
    <row r="655" ht="12.75">
      <c r="G655" s="14"/>
    </row>
    <row r="656" ht="12.75">
      <c r="G656" s="14"/>
    </row>
    <row r="657" ht="12.75">
      <c r="G657" s="14"/>
    </row>
    <row r="658" ht="12.75">
      <c r="G658" s="14"/>
    </row>
    <row r="659" ht="12.75">
      <c r="G659" s="14"/>
    </row>
    <row r="660" ht="12.75">
      <c r="G660" s="14"/>
    </row>
    <row r="661" ht="12.75">
      <c r="G661" s="14"/>
    </row>
    <row r="662" ht="12.75">
      <c r="G662" s="14"/>
    </row>
    <row r="663" ht="12.75">
      <c r="G663" s="14"/>
    </row>
    <row r="664" ht="12.75">
      <c r="G664" s="14"/>
    </row>
    <row r="665" ht="12.75">
      <c r="G665" s="14"/>
    </row>
    <row r="666" ht="12.75">
      <c r="G666" s="14"/>
    </row>
    <row r="667" ht="12.75">
      <c r="G667" s="14"/>
    </row>
    <row r="668" ht="12.75">
      <c r="G668" s="14"/>
    </row>
    <row r="669" ht="12.75">
      <c r="G669" s="14"/>
    </row>
    <row r="670" ht="12.75">
      <c r="G670" s="14"/>
    </row>
    <row r="671" ht="12.75">
      <c r="G671" s="14"/>
    </row>
    <row r="672" ht="12.75">
      <c r="G672" s="14"/>
    </row>
    <row r="673" ht="12.75">
      <c r="G673" s="14"/>
    </row>
    <row r="674" ht="12.75">
      <c r="G674" s="14"/>
    </row>
    <row r="675" ht="12.75">
      <c r="G675" s="14"/>
    </row>
    <row r="676" ht="12.75">
      <c r="G676" s="14"/>
    </row>
    <row r="677" ht="12.75">
      <c r="G677" s="14"/>
    </row>
    <row r="678" ht="12.75">
      <c r="G678" s="14"/>
    </row>
    <row r="679" ht="12.75">
      <c r="G679" s="14"/>
    </row>
    <row r="680" ht="12.75">
      <c r="G680" s="14"/>
    </row>
    <row r="681" ht="12.75">
      <c r="G681" s="14"/>
    </row>
    <row r="682" ht="12.75">
      <c r="G682" s="14"/>
    </row>
    <row r="683" ht="12.75">
      <c r="G683" s="14"/>
    </row>
    <row r="684" ht="12.75">
      <c r="G684" s="14"/>
    </row>
    <row r="685" ht="12.75">
      <c r="G685" s="14"/>
    </row>
    <row r="686" ht="12.75">
      <c r="G686" s="14"/>
    </row>
    <row r="687" ht="12.75">
      <c r="G687" s="14"/>
    </row>
    <row r="688" ht="12.75">
      <c r="G688" s="14"/>
    </row>
    <row r="689" ht="12.75">
      <c r="G689" s="14"/>
    </row>
    <row r="690" ht="12.75">
      <c r="G690" s="14"/>
    </row>
    <row r="691" ht="12.75">
      <c r="G691" s="14"/>
    </row>
    <row r="692" ht="12.75">
      <c r="G692" s="14"/>
    </row>
    <row r="693" ht="12.75">
      <c r="G693" s="14"/>
    </row>
    <row r="694" ht="12.75">
      <c r="G694" s="14"/>
    </row>
    <row r="695" ht="12.75">
      <c r="G695" s="14"/>
    </row>
    <row r="696" ht="12.75">
      <c r="G696" s="14"/>
    </row>
    <row r="697" ht="12.75">
      <c r="G697" s="14"/>
    </row>
    <row r="698" ht="12.75">
      <c r="G698" s="14"/>
    </row>
    <row r="699" ht="12.75">
      <c r="G699" s="14"/>
    </row>
    <row r="700" ht="12.75">
      <c r="G700" s="14"/>
    </row>
    <row r="701" ht="12.75">
      <c r="G701" s="14"/>
    </row>
    <row r="702" ht="12.75">
      <c r="G702" s="14"/>
    </row>
    <row r="703" ht="12.75">
      <c r="G703" s="14"/>
    </row>
    <row r="704" ht="12.75">
      <c r="G704" s="14"/>
    </row>
    <row r="705" ht="12.75">
      <c r="G705" s="14"/>
    </row>
    <row r="706" ht="12.75">
      <c r="G706" s="14"/>
    </row>
    <row r="707" ht="12.75">
      <c r="G707" s="14"/>
    </row>
    <row r="708" ht="12.75">
      <c r="G708" s="14"/>
    </row>
    <row r="709" ht="12.75">
      <c r="G709" s="14"/>
    </row>
    <row r="710" ht="12.75">
      <c r="G710" s="14"/>
    </row>
    <row r="711" ht="12.75">
      <c r="G711" s="14"/>
    </row>
    <row r="712" ht="12.75">
      <c r="G712" s="14"/>
    </row>
    <row r="713" ht="12.75">
      <c r="G713" s="14"/>
    </row>
    <row r="714" ht="12.75">
      <c r="G714" s="14"/>
    </row>
    <row r="715" ht="12.75">
      <c r="G715" s="14"/>
    </row>
    <row r="716" ht="12.75">
      <c r="G716" s="14"/>
    </row>
    <row r="717" ht="12.75">
      <c r="G717" s="14"/>
    </row>
    <row r="718" ht="12.75">
      <c r="G718" s="14"/>
    </row>
    <row r="719" ht="12.75">
      <c r="G719" s="14"/>
    </row>
    <row r="720" ht="12.75">
      <c r="G720" s="14"/>
    </row>
    <row r="721" ht="12.75">
      <c r="G721" s="14"/>
    </row>
    <row r="722" ht="12.75">
      <c r="G722" s="14"/>
    </row>
    <row r="723" ht="12.75">
      <c r="G723" s="14"/>
    </row>
    <row r="724" ht="12.75">
      <c r="G724" s="14"/>
    </row>
    <row r="725" ht="12.75">
      <c r="G725" s="14"/>
    </row>
    <row r="726" ht="12.75">
      <c r="G726" s="14"/>
    </row>
    <row r="727" ht="12.75">
      <c r="G727" s="14"/>
    </row>
    <row r="728" ht="12.75">
      <c r="G728" s="14"/>
    </row>
    <row r="729" ht="12.75">
      <c r="G729" s="14"/>
    </row>
    <row r="730" ht="12.75">
      <c r="G730" s="14"/>
    </row>
    <row r="731" ht="12.75">
      <c r="G731" s="14"/>
    </row>
    <row r="732" ht="12.75">
      <c r="G732" s="14"/>
    </row>
    <row r="733" ht="12.75">
      <c r="G733" s="14"/>
    </row>
    <row r="734" ht="12.75">
      <c r="G734" s="14"/>
    </row>
    <row r="735" ht="12.75">
      <c r="G735" s="14"/>
    </row>
    <row r="736" ht="12.75">
      <c r="G736" s="14"/>
    </row>
    <row r="737" ht="12.75">
      <c r="G737" s="14"/>
    </row>
    <row r="738" ht="12.75">
      <c r="G738" s="14"/>
    </row>
    <row r="739" ht="12.75">
      <c r="G739" s="14"/>
    </row>
    <row r="740" ht="12.75">
      <c r="G740" s="14"/>
    </row>
    <row r="741" ht="12.75">
      <c r="G741" s="14"/>
    </row>
    <row r="742" ht="12.75">
      <c r="G742" s="14"/>
    </row>
    <row r="743" ht="12.75">
      <c r="G743" s="14"/>
    </row>
    <row r="744" ht="12.75">
      <c r="G744" s="14"/>
    </row>
    <row r="745" ht="12.75">
      <c r="G745" s="14"/>
    </row>
    <row r="746" ht="12.75">
      <c r="G746" s="14"/>
    </row>
    <row r="747" ht="12.75">
      <c r="G747" s="14"/>
    </row>
    <row r="748" ht="12.75">
      <c r="G748" s="14"/>
    </row>
    <row r="749" ht="12.75">
      <c r="G749" s="14"/>
    </row>
    <row r="750" ht="12.75">
      <c r="G750" s="14"/>
    </row>
    <row r="751" ht="12.75">
      <c r="G751" s="14"/>
    </row>
    <row r="752" ht="12.75">
      <c r="G752" s="14"/>
    </row>
    <row r="753" ht="12.75">
      <c r="G753" s="14"/>
    </row>
    <row r="754" ht="12.75">
      <c r="G754" s="14"/>
    </row>
    <row r="755" ht="12.75">
      <c r="G755" s="14"/>
    </row>
    <row r="756" ht="12.75">
      <c r="G756" s="14"/>
    </row>
    <row r="757" ht="12.75">
      <c r="G757" s="14"/>
    </row>
    <row r="758" ht="12.75">
      <c r="G758" s="14"/>
    </row>
    <row r="759" ht="12.75">
      <c r="G759" s="14"/>
    </row>
    <row r="760" ht="12.75">
      <c r="G760" s="14"/>
    </row>
    <row r="761" ht="12.75">
      <c r="G761" s="14"/>
    </row>
    <row r="762" ht="12.75">
      <c r="G762" s="14"/>
    </row>
    <row r="763" ht="12.75">
      <c r="G763" s="14"/>
    </row>
    <row r="764" ht="12.75">
      <c r="G764" s="14"/>
    </row>
    <row r="765" ht="12.75">
      <c r="G765" s="14"/>
    </row>
    <row r="766" ht="12.75">
      <c r="G766" s="14"/>
    </row>
    <row r="767" ht="12.75">
      <c r="G767" s="14"/>
    </row>
    <row r="768" ht="12.75">
      <c r="G768" s="14"/>
    </row>
    <row r="769" ht="12.75">
      <c r="G769" s="14"/>
    </row>
    <row r="770" ht="12.75">
      <c r="G770" s="14"/>
    </row>
    <row r="771" ht="12.75">
      <c r="G771" s="14"/>
    </row>
    <row r="772" ht="12.75">
      <c r="G772" s="14"/>
    </row>
    <row r="773" ht="12.75">
      <c r="G773" s="14"/>
    </row>
    <row r="774" ht="12.75">
      <c r="G774" s="14"/>
    </row>
    <row r="775" ht="12.75">
      <c r="G775" s="14"/>
    </row>
    <row r="776" ht="12.75">
      <c r="G776" s="14"/>
    </row>
    <row r="777" ht="12.75">
      <c r="G777" s="14"/>
    </row>
    <row r="778" ht="12.75">
      <c r="G778" s="14"/>
    </row>
    <row r="779" ht="12.75">
      <c r="G779" s="14"/>
    </row>
    <row r="780" ht="12.75">
      <c r="G780" s="14"/>
    </row>
    <row r="781" ht="12.75">
      <c r="G781" s="14"/>
    </row>
    <row r="782" ht="12.75">
      <c r="G782" s="14"/>
    </row>
    <row r="783" ht="12.75">
      <c r="G783" s="14"/>
    </row>
    <row r="784" ht="12.75">
      <c r="G784" s="14"/>
    </row>
    <row r="785" ht="12.75">
      <c r="G785" s="14"/>
    </row>
    <row r="786" ht="12.75">
      <c r="G786" s="14"/>
    </row>
    <row r="787" ht="12.75">
      <c r="G787" s="14"/>
    </row>
    <row r="788" ht="12.75">
      <c r="G788" s="14"/>
    </row>
    <row r="789" ht="12.75">
      <c r="G789" s="14"/>
    </row>
    <row r="790" ht="12.75">
      <c r="G790" s="14"/>
    </row>
    <row r="791" ht="12.75">
      <c r="G791" s="14"/>
    </row>
    <row r="792" ht="12.75">
      <c r="G792" s="14"/>
    </row>
    <row r="793" ht="12.75">
      <c r="G793" s="14"/>
    </row>
    <row r="794" ht="12.75">
      <c r="G794" s="14"/>
    </row>
    <row r="795" ht="12.75">
      <c r="G795" s="14"/>
    </row>
    <row r="796" ht="12.75">
      <c r="G796" s="14"/>
    </row>
    <row r="797" ht="12.75">
      <c r="G797" s="14"/>
    </row>
    <row r="798" ht="12.75">
      <c r="G798" s="14"/>
    </row>
    <row r="799" ht="12.75">
      <c r="G799" s="14"/>
    </row>
    <row r="800" ht="12.75">
      <c r="G800" s="14"/>
    </row>
    <row r="801" ht="12.75">
      <c r="G801" s="14"/>
    </row>
    <row r="802" ht="12.75">
      <c r="G802" s="14"/>
    </row>
    <row r="803" ht="12.75">
      <c r="G803" s="14"/>
    </row>
    <row r="804" ht="12.75">
      <c r="G804" s="14"/>
    </row>
    <row r="805" ht="12.75">
      <c r="G805" s="14"/>
    </row>
    <row r="806" ht="12.75">
      <c r="G806" s="14"/>
    </row>
    <row r="807" ht="12.75">
      <c r="G807" s="14"/>
    </row>
    <row r="808" ht="12.75">
      <c r="G808" s="14"/>
    </row>
    <row r="809" ht="12.75">
      <c r="G809" s="14"/>
    </row>
    <row r="810" ht="12.75">
      <c r="G810" s="14"/>
    </row>
    <row r="811" ht="12.75">
      <c r="G811" s="14"/>
    </row>
    <row r="812" ht="12.75">
      <c r="G812" s="14"/>
    </row>
    <row r="813" ht="12.75">
      <c r="G813" s="14"/>
    </row>
    <row r="814" ht="12.75">
      <c r="G814" s="14"/>
    </row>
    <row r="815" ht="12.75">
      <c r="G815" s="14"/>
    </row>
    <row r="816" ht="12.75">
      <c r="G816" s="14"/>
    </row>
    <row r="817" ht="12.75">
      <c r="G817" s="14"/>
    </row>
    <row r="818" ht="12.75">
      <c r="G818" s="14"/>
    </row>
    <row r="819" ht="12.75">
      <c r="G819" s="14"/>
    </row>
    <row r="820" ht="12.75">
      <c r="G820" s="14"/>
    </row>
    <row r="821" ht="12.75">
      <c r="G821" s="14"/>
    </row>
    <row r="822" ht="12.75">
      <c r="G822" s="14"/>
    </row>
    <row r="823" ht="12.75">
      <c r="G823" s="14"/>
    </row>
    <row r="824" ht="12.75">
      <c r="G824" s="14"/>
    </row>
    <row r="825" ht="12.75">
      <c r="G825" s="14"/>
    </row>
    <row r="826" ht="12.75">
      <c r="G826" s="14"/>
    </row>
    <row r="827" ht="12.75">
      <c r="G827" s="14"/>
    </row>
    <row r="828" ht="12.75">
      <c r="G828" s="14"/>
    </row>
    <row r="829" ht="12.75">
      <c r="G829" s="14"/>
    </row>
    <row r="830" ht="12.75">
      <c r="G830" s="14"/>
    </row>
    <row r="831" ht="12.75">
      <c r="G831" s="14"/>
    </row>
    <row r="832" ht="12.75">
      <c r="G832" s="14"/>
    </row>
    <row r="833" ht="12.75">
      <c r="G833" s="14"/>
    </row>
    <row r="834" ht="12.75">
      <c r="G834" s="14"/>
    </row>
    <row r="835" ht="12.75">
      <c r="G835" s="14"/>
    </row>
    <row r="836" ht="12.75">
      <c r="G836" s="14"/>
    </row>
    <row r="837" ht="12.75">
      <c r="G837" s="14"/>
    </row>
    <row r="838" ht="12.75">
      <c r="G838" s="14"/>
    </row>
    <row r="839" ht="12.75">
      <c r="G839" s="14"/>
    </row>
    <row r="840" ht="12.75">
      <c r="G840" s="14"/>
    </row>
    <row r="841" ht="12.75">
      <c r="G841" s="14"/>
    </row>
    <row r="842" ht="12.75">
      <c r="G842" s="14"/>
    </row>
    <row r="843" ht="12.75">
      <c r="G843" s="14"/>
    </row>
    <row r="844" ht="12.75">
      <c r="G844" s="14"/>
    </row>
    <row r="845" ht="12.75">
      <c r="G845" s="14"/>
    </row>
    <row r="846" ht="12.75">
      <c r="G846" s="14"/>
    </row>
    <row r="847" ht="12.75">
      <c r="G847" s="14"/>
    </row>
    <row r="848" ht="12.75">
      <c r="G848" s="14"/>
    </row>
    <row r="849" ht="12.75">
      <c r="G849" s="14"/>
    </row>
    <row r="850" ht="12.75">
      <c r="G850" s="14"/>
    </row>
    <row r="851" ht="12.75">
      <c r="G851" s="14"/>
    </row>
    <row r="852" ht="12.75">
      <c r="G852" s="14"/>
    </row>
    <row r="853" ht="12.75">
      <c r="G853" s="14"/>
    </row>
    <row r="854" ht="12.75">
      <c r="G854" s="14"/>
    </row>
    <row r="855" ht="12.75">
      <c r="G855" s="14"/>
    </row>
    <row r="856" ht="12.75">
      <c r="G856" s="14"/>
    </row>
    <row r="857" ht="12.75">
      <c r="G857" s="14"/>
    </row>
    <row r="858" ht="12.75">
      <c r="G858" s="14"/>
    </row>
    <row r="859" ht="12.75">
      <c r="G859" s="14"/>
    </row>
    <row r="860" ht="12.75">
      <c r="G860" s="14"/>
    </row>
    <row r="861" ht="12.75">
      <c r="G861" s="14"/>
    </row>
    <row r="862" ht="12.75">
      <c r="G862" s="14"/>
    </row>
    <row r="863" ht="12.75">
      <c r="G863" s="14"/>
    </row>
    <row r="864" ht="12.75">
      <c r="G864" s="14"/>
    </row>
    <row r="865" ht="12.75">
      <c r="G865" s="14"/>
    </row>
    <row r="866" ht="12.75">
      <c r="G866" s="14"/>
    </row>
    <row r="867" ht="12.75">
      <c r="G867" s="14"/>
    </row>
    <row r="868" ht="12.75">
      <c r="G868" s="14"/>
    </row>
    <row r="869" ht="12.75">
      <c r="G869" s="14"/>
    </row>
    <row r="870" ht="12.75">
      <c r="G870" s="14"/>
    </row>
    <row r="871" ht="12.75">
      <c r="G871" s="14"/>
    </row>
    <row r="872" ht="12.75">
      <c r="G872" s="14"/>
    </row>
    <row r="873" ht="12.75">
      <c r="G873" s="14"/>
    </row>
    <row r="874" ht="12.75">
      <c r="G874" s="14"/>
    </row>
    <row r="875" ht="12.75">
      <c r="G875" s="14"/>
    </row>
    <row r="876" ht="12.75">
      <c r="G876" s="14"/>
    </row>
    <row r="877" ht="12.75">
      <c r="G877" s="14"/>
    </row>
    <row r="878" ht="12.75">
      <c r="G878" s="14"/>
    </row>
    <row r="879" ht="12.75">
      <c r="G879" s="14"/>
    </row>
    <row r="880" ht="12.75">
      <c r="G880" s="14"/>
    </row>
    <row r="881" ht="12.75">
      <c r="G881" s="14"/>
    </row>
    <row r="882" ht="12.75">
      <c r="G882" s="14"/>
    </row>
    <row r="883" ht="12.75">
      <c r="G883" s="14"/>
    </row>
    <row r="884" ht="12.75">
      <c r="G884" s="14"/>
    </row>
    <row r="885" ht="12.75">
      <c r="G885" s="14"/>
    </row>
    <row r="886" ht="12.75">
      <c r="G886" s="14"/>
    </row>
    <row r="887" ht="12.75">
      <c r="G887" s="14"/>
    </row>
    <row r="888" ht="12.75">
      <c r="G888" s="14"/>
    </row>
    <row r="889" ht="12.75">
      <c r="G889" s="14"/>
    </row>
    <row r="890" ht="12.75">
      <c r="G890" s="14"/>
    </row>
    <row r="891" ht="12.75">
      <c r="G891" s="14"/>
    </row>
    <row r="892" ht="12.75">
      <c r="G892" s="14"/>
    </row>
    <row r="893" ht="12.75">
      <c r="G893" s="14"/>
    </row>
    <row r="894" ht="12.75">
      <c r="G894" s="14"/>
    </row>
    <row r="895" ht="12.75">
      <c r="G895" s="14"/>
    </row>
    <row r="896" ht="12.75">
      <c r="G896" s="14"/>
    </row>
    <row r="897" ht="12.75">
      <c r="G897" s="14"/>
    </row>
    <row r="898" ht="12.75">
      <c r="G898" s="14"/>
    </row>
    <row r="899" ht="12.75">
      <c r="G899" s="14"/>
    </row>
    <row r="900" ht="12.75">
      <c r="G900" s="14"/>
    </row>
    <row r="901" ht="12.75">
      <c r="G901" s="14"/>
    </row>
    <row r="902" ht="12.75">
      <c r="G902" s="14"/>
    </row>
    <row r="903" ht="12.75">
      <c r="G903" s="14"/>
    </row>
    <row r="904" ht="12.75">
      <c r="G904" s="14"/>
    </row>
    <row r="905" ht="12.75">
      <c r="G905" s="14"/>
    </row>
    <row r="906" ht="12.75">
      <c r="G906" s="14"/>
    </row>
    <row r="907" ht="12.75">
      <c r="G907" s="14"/>
    </row>
    <row r="908" ht="12.75">
      <c r="G908" s="14"/>
    </row>
    <row r="909" ht="12.75">
      <c r="G909" s="14"/>
    </row>
    <row r="910" ht="12.75">
      <c r="G910" s="14"/>
    </row>
    <row r="911" ht="12.75">
      <c r="G911" s="14"/>
    </row>
    <row r="912" ht="12.75">
      <c r="G912" s="14"/>
    </row>
    <row r="913" ht="12.75">
      <c r="G913" s="14"/>
    </row>
    <row r="914" ht="12.75">
      <c r="G914" s="14"/>
    </row>
    <row r="915" ht="12.75">
      <c r="G915" s="14"/>
    </row>
    <row r="916" ht="12.75">
      <c r="G916" s="14"/>
    </row>
    <row r="917" ht="12.75">
      <c r="G917" s="14"/>
    </row>
    <row r="918" ht="12.75">
      <c r="G918" s="14"/>
    </row>
    <row r="919" ht="12.75">
      <c r="G919" s="14"/>
    </row>
    <row r="920" ht="12.75">
      <c r="G920" s="14"/>
    </row>
    <row r="921" ht="12.75">
      <c r="G921" s="14"/>
    </row>
    <row r="922" ht="12.75">
      <c r="G922" s="14"/>
    </row>
    <row r="923" ht="12.75">
      <c r="G923" s="14"/>
    </row>
    <row r="924" ht="12.75">
      <c r="G924" s="14"/>
    </row>
    <row r="925" ht="12.75">
      <c r="G925" s="14"/>
    </row>
    <row r="926" ht="12.75">
      <c r="G926" s="14"/>
    </row>
    <row r="927" ht="12.75">
      <c r="G927" s="14"/>
    </row>
    <row r="928" ht="12.75">
      <c r="G928" s="14"/>
    </row>
    <row r="929" ht="12.75">
      <c r="G929" s="14"/>
    </row>
    <row r="930" ht="12.75">
      <c r="G930" s="14"/>
    </row>
    <row r="931" ht="12.75">
      <c r="G931" s="14"/>
    </row>
    <row r="932" ht="12.75">
      <c r="G932" s="14"/>
    </row>
    <row r="933" ht="12.75">
      <c r="G933" s="14"/>
    </row>
    <row r="934" ht="12.75">
      <c r="G934" s="14"/>
    </row>
    <row r="935" ht="12.75">
      <c r="G935" s="14"/>
    </row>
    <row r="936" ht="12.75">
      <c r="G936" s="14"/>
    </row>
    <row r="937" ht="12.75">
      <c r="G937" s="14"/>
    </row>
    <row r="938" ht="12.75">
      <c r="G938" s="14"/>
    </row>
    <row r="939" ht="12.75">
      <c r="G939" s="14"/>
    </row>
    <row r="940" ht="12.75">
      <c r="G940" s="14"/>
    </row>
    <row r="941" ht="12.75">
      <c r="G941" s="14"/>
    </row>
    <row r="942" ht="12.75">
      <c r="G942" s="14"/>
    </row>
    <row r="943" ht="12.75">
      <c r="G943" s="14"/>
    </row>
    <row r="944" ht="12.75">
      <c r="G944" s="14"/>
    </row>
    <row r="945" ht="12.75">
      <c r="G945" s="14"/>
    </row>
    <row r="946" ht="12.75">
      <c r="G946" s="14"/>
    </row>
    <row r="947" ht="12.75">
      <c r="G947" s="14"/>
    </row>
    <row r="948" ht="12.75">
      <c r="G948" s="14"/>
    </row>
    <row r="949" ht="12.75">
      <c r="G949" s="14"/>
    </row>
    <row r="950" ht="12.75">
      <c r="G950" s="14"/>
    </row>
    <row r="951" ht="12.75">
      <c r="G951" s="14"/>
    </row>
    <row r="952" ht="12.75">
      <c r="G952" s="14"/>
    </row>
    <row r="953" ht="12.75">
      <c r="G953" s="14"/>
    </row>
    <row r="954" ht="12.75">
      <c r="G954" s="14"/>
    </row>
    <row r="955" ht="12.75">
      <c r="G955" s="14"/>
    </row>
    <row r="956" ht="12.75">
      <c r="G956" s="14"/>
    </row>
    <row r="957" ht="12.75">
      <c r="G957" s="14"/>
    </row>
    <row r="958" ht="12.75">
      <c r="G958" s="14"/>
    </row>
    <row r="959" ht="12.75">
      <c r="G959" s="14"/>
    </row>
    <row r="960" ht="12.75">
      <c r="G960" s="14"/>
    </row>
    <row r="961" ht="12.75">
      <c r="G961" s="14"/>
    </row>
    <row r="962" ht="12.75">
      <c r="G962" s="14"/>
    </row>
    <row r="963" ht="12.75">
      <c r="G963" s="14"/>
    </row>
    <row r="964" ht="12.75">
      <c r="G964" s="14"/>
    </row>
    <row r="965" ht="12.75">
      <c r="G965" s="14"/>
    </row>
    <row r="966" ht="12.75">
      <c r="G966" s="14"/>
    </row>
    <row r="967" ht="12.75">
      <c r="G967" s="14"/>
    </row>
    <row r="968" ht="12.75">
      <c r="G968" s="14"/>
    </row>
    <row r="969" ht="12.75">
      <c r="G969" s="14"/>
    </row>
    <row r="970" ht="12.75">
      <c r="G970" s="14"/>
    </row>
    <row r="971" ht="12.75">
      <c r="G971" s="14"/>
    </row>
    <row r="972" ht="12.75">
      <c r="G972" s="14"/>
    </row>
    <row r="973" ht="12.75">
      <c r="G973" s="14"/>
    </row>
    <row r="974" ht="12.75">
      <c r="G974" s="14"/>
    </row>
    <row r="975" ht="12.75">
      <c r="G975" s="14"/>
    </row>
    <row r="976" ht="12.75">
      <c r="G976" s="14"/>
    </row>
    <row r="977" ht="12.75">
      <c r="G977" s="14"/>
    </row>
    <row r="978" ht="12.75">
      <c r="G978" s="14"/>
    </row>
    <row r="979" ht="12.75">
      <c r="G979" s="14"/>
    </row>
    <row r="980" ht="12.75">
      <c r="G980" s="14"/>
    </row>
    <row r="981" ht="12.75">
      <c r="G981" s="14"/>
    </row>
    <row r="982" ht="12.75">
      <c r="G982" s="14"/>
    </row>
    <row r="983" ht="12.75">
      <c r="G983" s="14"/>
    </row>
    <row r="984" ht="12.75">
      <c r="G984" s="14"/>
    </row>
    <row r="985" ht="12.75">
      <c r="G985" s="14"/>
    </row>
    <row r="986" ht="12.75">
      <c r="G986" s="14"/>
    </row>
    <row r="987" ht="12.75">
      <c r="G987" s="14"/>
    </row>
    <row r="988" ht="12.75">
      <c r="G988" s="14"/>
    </row>
    <row r="989" ht="12.75">
      <c r="G989" s="14"/>
    </row>
    <row r="990" ht="12.75">
      <c r="G990" s="14"/>
    </row>
    <row r="991" ht="12.75">
      <c r="G991" s="14"/>
    </row>
    <row r="992" ht="12.75">
      <c r="G992" s="14"/>
    </row>
    <row r="993" ht="12.75">
      <c r="G993" s="14"/>
    </row>
    <row r="994" ht="12.75">
      <c r="G994" s="14"/>
    </row>
    <row r="995" ht="12.75">
      <c r="G995" s="14"/>
    </row>
    <row r="996" ht="12.75">
      <c r="G996" s="14"/>
    </row>
    <row r="997" ht="12.75">
      <c r="G997" s="14"/>
    </row>
    <row r="998" ht="12.75">
      <c r="G998" s="14"/>
    </row>
    <row r="999" ht="12.75">
      <c r="G999" s="14"/>
    </row>
    <row r="1000" ht="12.75">
      <c r="G1000" s="14"/>
    </row>
    <row r="1001" ht="12.75">
      <c r="G1001" s="14"/>
    </row>
    <row r="1002" ht="12.75">
      <c r="G1002" s="14"/>
    </row>
    <row r="1003" ht="12.75">
      <c r="G1003" s="14"/>
    </row>
    <row r="1004" ht="12.75">
      <c r="G1004" s="14"/>
    </row>
    <row r="1005" ht="12.75">
      <c r="G1005" s="14"/>
    </row>
    <row r="1006" ht="12.75">
      <c r="G1006" s="14"/>
    </row>
    <row r="1007" ht="12.75">
      <c r="G1007" s="14"/>
    </row>
    <row r="1008" ht="12.75">
      <c r="G1008" s="14"/>
    </row>
    <row r="1009" ht="12.75">
      <c r="G1009" s="14"/>
    </row>
    <row r="1010" ht="12.75">
      <c r="G1010" s="14"/>
    </row>
    <row r="1011" ht="12.75">
      <c r="G1011" s="14"/>
    </row>
    <row r="1012" ht="12.75">
      <c r="G1012" s="14"/>
    </row>
    <row r="1013" ht="12.75">
      <c r="G1013" s="14"/>
    </row>
    <row r="1014" ht="12.75">
      <c r="G1014" s="14"/>
    </row>
    <row r="1015" ht="12.75">
      <c r="G1015" s="14"/>
    </row>
    <row r="1016" ht="12.75">
      <c r="G1016" s="14"/>
    </row>
    <row r="1017" ht="12.75">
      <c r="G1017" s="14"/>
    </row>
    <row r="1018" ht="12.75">
      <c r="G1018" s="14"/>
    </row>
    <row r="1019" ht="12.75">
      <c r="G1019" s="14"/>
    </row>
    <row r="1020" ht="12.75">
      <c r="G1020" s="14"/>
    </row>
    <row r="1021" ht="12.75">
      <c r="G1021" s="14"/>
    </row>
    <row r="1022" ht="12.75">
      <c r="G1022" s="14"/>
    </row>
    <row r="1023" ht="12.75">
      <c r="G1023" s="14"/>
    </row>
    <row r="1024" ht="12.75">
      <c r="G1024" s="14"/>
    </row>
    <row r="1025" ht="12.75">
      <c r="G1025" s="14"/>
    </row>
    <row r="1026" ht="12.75">
      <c r="G1026" s="14"/>
    </row>
    <row r="1027" ht="12.75">
      <c r="G1027" s="14"/>
    </row>
    <row r="1028" ht="12.75">
      <c r="G1028" s="14"/>
    </row>
    <row r="1029" ht="12.75">
      <c r="G1029" s="14"/>
    </row>
    <row r="1030" ht="12.75">
      <c r="G1030" s="14"/>
    </row>
    <row r="1031" ht="12.75">
      <c r="G1031" s="14"/>
    </row>
    <row r="1032" ht="12.75">
      <c r="G1032" s="14"/>
    </row>
    <row r="1033" ht="12.75">
      <c r="G1033" s="14"/>
    </row>
    <row r="1034" ht="12.75">
      <c r="G1034" s="14"/>
    </row>
    <row r="1035" ht="12.75">
      <c r="G1035" s="14"/>
    </row>
    <row r="1036" ht="12.75">
      <c r="G1036" s="14"/>
    </row>
    <row r="1037" ht="12.75">
      <c r="G1037" s="14"/>
    </row>
    <row r="1038" ht="12.75">
      <c r="G1038" s="14"/>
    </row>
    <row r="1039" ht="12.75">
      <c r="G1039" s="14"/>
    </row>
    <row r="1040" ht="12.75">
      <c r="G1040" s="14"/>
    </row>
    <row r="1041" ht="12.75">
      <c r="G1041" s="14"/>
    </row>
    <row r="1042" ht="12.75">
      <c r="G1042" s="14"/>
    </row>
    <row r="1043" ht="12.75">
      <c r="G1043" s="14"/>
    </row>
    <row r="1044" ht="12.75">
      <c r="G1044" s="14"/>
    </row>
    <row r="1045" ht="12.75">
      <c r="G1045" s="14"/>
    </row>
    <row r="1046" ht="12.75">
      <c r="G1046" s="14"/>
    </row>
    <row r="1047" ht="12.75">
      <c r="G1047" s="14"/>
    </row>
    <row r="1048" ht="12.75">
      <c r="G1048" s="14"/>
    </row>
    <row r="1049" ht="12.75">
      <c r="G1049" s="14"/>
    </row>
    <row r="1050" ht="12.75">
      <c r="G1050" s="14"/>
    </row>
    <row r="1051" ht="12.75">
      <c r="G1051" s="14"/>
    </row>
    <row r="1052" ht="12.75">
      <c r="G1052" s="14"/>
    </row>
  </sheetData>
  <sheetProtection password="DDD9" sheet="1" objects="1" scenarios="1"/>
  <mergeCells count="1">
    <mergeCell ref="B1:D1"/>
  </mergeCells>
  <printOptions/>
  <pageMargins left="0.75" right="0.25" top="0.75" bottom="0.5" header="0.5" footer="0.5"/>
  <pageSetup horizontalDpi="300" verticalDpi="300" orientation="portrait" r:id="rId1"/>
  <headerFooter alignWithMargins="0">
    <oddHeader>&amp;RPage No.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22" sqref="A22"/>
    </sheetView>
  </sheetViews>
  <sheetFormatPr defaultColWidth="9.140625" defaultRowHeight="12.75"/>
  <cols>
    <col min="1" max="1" width="21.140625" style="37" customWidth="1"/>
    <col min="2" max="2" width="2.7109375" style="37" customWidth="1"/>
    <col min="3" max="4" width="12.57421875" style="37" customWidth="1"/>
    <col min="5" max="5" width="2.57421875" style="37" customWidth="1"/>
    <col min="6" max="6" width="19.57421875" style="37" bestFit="1" customWidth="1"/>
    <col min="7" max="7" width="2.7109375" style="37" customWidth="1"/>
    <col min="8" max="8" width="12.57421875" style="37" customWidth="1"/>
    <col min="9" max="9" width="13.421875" style="37" customWidth="1"/>
    <col min="10" max="16384" width="9.140625" style="37" customWidth="1"/>
  </cols>
  <sheetData>
    <row r="1" spans="1:9" ht="18">
      <c r="A1" s="153" t="s">
        <v>738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4" t="s">
        <v>129</v>
      </c>
      <c r="B2" s="154"/>
      <c r="C2" s="154"/>
      <c r="D2" s="154"/>
      <c r="E2" s="154"/>
      <c r="F2" s="154"/>
      <c r="G2" s="154"/>
      <c r="H2" s="154"/>
      <c r="I2" s="154"/>
    </row>
    <row r="3" ht="12.75">
      <c r="A3" s="15"/>
    </row>
    <row r="4" spans="1:9" ht="12.75">
      <c r="A4" s="161" t="s">
        <v>136</v>
      </c>
      <c r="B4" s="161"/>
      <c r="C4" s="161"/>
      <c r="D4" s="161"/>
      <c r="E4" s="161"/>
      <c r="F4" s="161"/>
      <c r="G4" s="161"/>
      <c r="H4" s="161"/>
      <c r="I4" s="161"/>
    </row>
    <row r="6" ht="13.5" thickBot="1"/>
    <row r="7" spans="1:9" ht="12.75">
      <c r="A7" s="63" t="s">
        <v>108</v>
      </c>
      <c r="B7" s="60"/>
      <c r="C7" s="60" t="s">
        <v>3</v>
      </c>
      <c r="D7" s="60" t="s">
        <v>3</v>
      </c>
      <c r="E7" s="60"/>
      <c r="F7" s="60" t="s">
        <v>127</v>
      </c>
      <c r="G7" s="60"/>
      <c r="H7" s="60" t="s">
        <v>3</v>
      </c>
      <c r="I7" s="60" t="s">
        <v>3</v>
      </c>
    </row>
    <row r="8" spans="1:9" ht="13.5" thickBot="1">
      <c r="A8" s="65"/>
      <c r="B8" s="62"/>
      <c r="C8" s="62" t="s">
        <v>204</v>
      </c>
      <c r="D8" s="62" t="s">
        <v>203</v>
      </c>
      <c r="E8" s="62"/>
      <c r="F8" s="62"/>
      <c r="G8" s="62"/>
      <c r="H8" s="62" t="s">
        <v>204</v>
      </c>
      <c r="I8" s="62" t="s">
        <v>203</v>
      </c>
    </row>
    <row r="9" spans="1:9" ht="12.75">
      <c r="A9" s="39"/>
      <c r="B9" s="30"/>
      <c r="C9" s="30"/>
      <c r="D9" s="30"/>
      <c r="E9" s="30"/>
      <c r="F9" s="30"/>
      <c r="G9" s="30"/>
      <c r="H9" s="30"/>
      <c r="I9" s="30"/>
    </row>
    <row r="10" spans="1:9" ht="12.75">
      <c r="A10" s="39" t="s">
        <v>109</v>
      </c>
      <c r="B10" s="66" t="s">
        <v>130</v>
      </c>
      <c r="C10" s="43">
        <f>Annexure!C12</f>
        <v>90573003.00176027</v>
      </c>
      <c r="D10" s="31">
        <f>Annexure!D12</f>
        <v>77506359.72999999</v>
      </c>
      <c r="E10" s="30"/>
      <c r="F10" s="30" t="s">
        <v>117</v>
      </c>
      <c r="G10" s="66" t="s">
        <v>132</v>
      </c>
      <c r="H10" s="74">
        <f>'FINAL FIXED ASSETS'!K85</f>
        <v>111345402.99776028</v>
      </c>
      <c r="I10" s="31">
        <v>85962904.62</v>
      </c>
    </row>
    <row r="11" spans="1:9" ht="12.75">
      <c r="A11" s="39"/>
      <c r="B11" s="66"/>
      <c r="C11" s="43"/>
      <c r="D11" s="31"/>
      <c r="E11" s="30"/>
      <c r="F11" s="30"/>
      <c r="G11" s="66"/>
      <c r="H11" s="43"/>
      <c r="I11" s="31"/>
    </row>
    <row r="12" spans="1:9" ht="12.75">
      <c r="A12" s="39" t="s">
        <v>110</v>
      </c>
      <c r="B12" s="66" t="s">
        <v>131</v>
      </c>
      <c r="C12" s="43">
        <f>Annexure!C22</f>
        <v>6584325</v>
      </c>
      <c r="D12" s="31">
        <f>Annexure!D22</f>
        <v>1441690.49</v>
      </c>
      <c r="E12" s="30"/>
      <c r="F12" s="30" t="s">
        <v>118</v>
      </c>
      <c r="G12" s="66"/>
      <c r="H12" s="43">
        <f>'RUF WORK FOR BS'!J255</f>
        <v>0</v>
      </c>
      <c r="I12" s="31">
        <v>480565</v>
      </c>
    </row>
    <row r="13" spans="1:9" ht="12.75">
      <c r="A13" s="39"/>
      <c r="B13" s="66"/>
      <c r="C13" s="43"/>
      <c r="D13" s="31"/>
      <c r="E13" s="30"/>
      <c r="F13" s="30"/>
      <c r="G13" s="66"/>
      <c r="H13" s="43"/>
      <c r="I13" s="31"/>
    </row>
    <row r="14" spans="1:9" ht="12.75">
      <c r="A14" s="39" t="s">
        <v>111</v>
      </c>
      <c r="B14" s="66"/>
      <c r="C14" s="43">
        <f>'RUF WORK FOR BS'!J103</f>
        <v>0</v>
      </c>
      <c r="D14" s="31">
        <v>106627.94</v>
      </c>
      <c r="E14" s="30"/>
      <c r="F14" s="30" t="s">
        <v>119</v>
      </c>
      <c r="G14" s="66"/>
      <c r="H14" s="43" t="e">
        <f>'RUF WORK FOR BS'!#REF!</f>
        <v>#REF!</v>
      </c>
      <c r="I14" s="31">
        <v>3519589.9</v>
      </c>
    </row>
    <row r="15" spans="1:9" ht="12.75">
      <c r="A15" s="39"/>
      <c r="B15" s="66"/>
      <c r="C15" s="43"/>
      <c r="D15" s="31"/>
      <c r="E15" s="30"/>
      <c r="F15" s="30"/>
      <c r="G15" s="66"/>
      <c r="H15" s="43"/>
      <c r="I15" s="31"/>
    </row>
    <row r="16" spans="1:9" ht="12.75">
      <c r="A16" s="39" t="s">
        <v>112</v>
      </c>
      <c r="B16" s="66"/>
      <c r="C16" s="43">
        <f>'RUF WORK FOR BS'!J121</f>
        <v>0</v>
      </c>
      <c r="D16" s="31">
        <v>17884355.4</v>
      </c>
      <c r="E16" s="30"/>
      <c r="F16" s="30" t="s">
        <v>120</v>
      </c>
      <c r="G16" s="66"/>
      <c r="H16" s="43">
        <f>'RUF WORK FOR BS'!J299</f>
        <v>0</v>
      </c>
      <c r="I16" s="31">
        <v>4233744</v>
      </c>
    </row>
    <row r="17" spans="1:9" ht="12.75">
      <c r="A17" s="39"/>
      <c r="B17" s="66"/>
      <c r="C17" s="43"/>
      <c r="D17" s="31"/>
      <c r="E17" s="30"/>
      <c r="F17" s="30"/>
      <c r="G17" s="66"/>
      <c r="H17" s="43"/>
      <c r="I17" s="31"/>
    </row>
    <row r="18" spans="1:9" ht="12.75">
      <c r="A18" s="39" t="s">
        <v>113</v>
      </c>
      <c r="B18" s="66"/>
      <c r="C18" s="43">
        <f>'RUF WORK FOR BS'!J212</f>
        <v>0</v>
      </c>
      <c r="D18" s="31">
        <v>3301912.3</v>
      </c>
      <c r="E18" s="30"/>
      <c r="F18" s="30" t="s">
        <v>121</v>
      </c>
      <c r="G18" s="66"/>
      <c r="H18" s="74">
        <f>'RUF WORK FOR BS'!J310</f>
        <v>0</v>
      </c>
      <c r="I18" s="31">
        <v>1997602.73</v>
      </c>
    </row>
    <row r="19" spans="1:9" ht="12.75">
      <c r="A19" s="39"/>
      <c r="B19" s="66"/>
      <c r="C19" s="43"/>
      <c r="D19" s="31"/>
      <c r="E19" s="30"/>
      <c r="F19" s="30"/>
      <c r="G19" s="66"/>
      <c r="H19" s="43"/>
      <c r="I19" s="31"/>
    </row>
    <row r="20" spans="1:9" ht="12.75">
      <c r="A20" s="39" t="s">
        <v>114</v>
      </c>
      <c r="B20" s="66"/>
      <c r="C20" s="43">
        <f>'RUF WORK FOR BS'!J131</f>
        <v>0</v>
      </c>
      <c r="D20" s="31">
        <v>11722700</v>
      </c>
      <c r="E20" s="30"/>
      <c r="F20" s="30" t="s">
        <v>122</v>
      </c>
      <c r="G20" s="66" t="s">
        <v>133</v>
      </c>
      <c r="H20" s="43" t="e">
        <f>Annexure!#REF!</f>
        <v>#REF!</v>
      </c>
      <c r="I20" s="31" t="e">
        <f>Annexure!#REF!</f>
        <v>#REF!</v>
      </c>
    </row>
    <row r="21" spans="1:9" ht="12.75">
      <c r="A21" s="39"/>
      <c r="B21" s="66"/>
      <c r="C21" s="43"/>
      <c r="D21" s="31"/>
      <c r="E21" s="30"/>
      <c r="F21" s="30"/>
      <c r="G21" s="66"/>
      <c r="H21" s="43"/>
      <c r="I21" s="31"/>
    </row>
    <row r="22" spans="1:9" ht="12.75">
      <c r="A22" s="39" t="s">
        <v>115</v>
      </c>
      <c r="B22" s="66"/>
      <c r="C22" s="43">
        <f>'RUF WORK FOR BS'!J146</f>
        <v>0</v>
      </c>
      <c r="D22" s="31">
        <v>1005239.62</v>
      </c>
      <c r="E22" s="30"/>
      <c r="F22" s="30" t="s">
        <v>123</v>
      </c>
      <c r="G22" s="66"/>
      <c r="H22" s="43">
        <f>'RUF WORK FOR BS'!J331</f>
        <v>0</v>
      </c>
      <c r="I22" s="31">
        <v>679041</v>
      </c>
    </row>
    <row r="23" spans="1:9" ht="12.75">
      <c r="A23" s="39"/>
      <c r="B23" s="66"/>
      <c r="C23" s="43"/>
      <c r="D23" s="31"/>
      <c r="E23" s="30"/>
      <c r="F23" s="30"/>
      <c r="G23" s="66"/>
      <c r="H23" s="43"/>
      <c r="I23" s="31"/>
    </row>
    <row r="24" spans="1:9" ht="12.75">
      <c r="A24" s="39" t="s">
        <v>116</v>
      </c>
      <c r="B24" s="66"/>
      <c r="C24" s="43">
        <f>'RUF WORK FOR BS'!I183</f>
        <v>0</v>
      </c>
      <c r="D24" s="31">
        <v>1958298</v>
      </c>
      <c r="E24" s="30"/>
      <c r="F24" s="30" t="s">
        <v>124</v>
      </c>
      <c r="G24" s="66"/>
      <c r="H24" s="43">
        <f>'RUF WORK FOR BS'!J227</f>
        <v>0</v>
      </c>
      <c r="I24" s="31">
        <v>10500</v>
      </c>
    </row>
    <row r="25" spans="1:9" ht="12.75">
      <c r="A25" s="39"/>
      <c r="B25" s="66"/>
      <c r="C25" s="43"/>
      <c r="D25" s="31"/>
      <c r="E25" s="30"/>
      <c r="F25" s="30"/>
      <c r="G25" s="66"/>
      <c r="H25" s="43"/>
      <c r="I25" s="31"/>
    </row>
    <row r="26" spans="1:9" ht="12.75">
      <c r="A26" s="39" t="s">
        <v>720</v>
      </c>
      <c r="B26" s="66"/>
      <c r="C26" s="43">
        <f>'RUF WORK FOR BS'!J223</f>
        <v>0</v>
      </c>
      <c r="D26" s="31">
        <v>35815</v>
      </c>
      <c r="E26" s="30"/>
      <c r="F26" s="30" t="s">
        <v>125</v>
      </c>
      <c r="G26" s="66"/>
      <c r="H26" s="43">
        <f>'RUF WORK FOR BS'!G337</f>
        <v>219326</v>
      </c>
      <c r="I26" s="31">
        <v>133821</v>
      </c>
    </row>
    <row r="27" spans="1:9" ht="12.75">
      <c r="A27" s="39"/>
      <c r="B27" s="66"/>
      <c r="C27" s="43"/>
      <c r="D27" s="31"/>
      <c r="E27" s="30"/>
      <c r="F27" s="30"/>
      <c r="G27" s="66"/>
      <c r="H27" s="43"/>
      <c r="I27" s="31"/>
    </row>
    <row r="28" spans="1:9" ht="12.75">
      <c r="A28" s="39" t="s">
        <v>455</v>
      </c>
      <c r="B28" s="66"/>
      <c r="C28" s="43">
        <f>'RUF WORK FOR BS'!J155</f>
        <v>0</v>
      </c>
      <c r="D28" s="31">
        <v>0</v>
      </c>
      <c r="E28" s="30"/>
      <c r="F28" s="30"/>
      <c r="G28" s="66"/>
      <c r="H28" s="43"/>
      <c r="I28" s="31"/>
    </row>
    <row r="29" spans="1:9" ht="12.75">
      <c r="A29" s="39"/>
      <c r="B29" s="66"/>
      <c r="C29" s="43"/>
      <c r="D29" s="31"/>
      <c r="E29" s="30"/>
      <c r="F29" s="30"/>
      <c r="G29" s="66"/>
      <c r="H29" s="43"/>
      <c r="I29" s="31"/>
    </row>
    <row r="30" spans="1:9" ht="12.75">
      <c r="A30" s="39" t="s">
        <v>460</v>
      </c>
      <c r="B30" s="66"/>
      <c r="C30" s="43">
        <v>1200000</v>
      </c>
      <c r="D30" s="31"/>
      <c r="E30" s="30"/>
      <c r="F30" s="30" t="s">
        <v>126</v>
      </c>
      <c r="G30" s="66" t="s">
        <v>134</v>
      </c>
      <c r="H30" s="43"/>
      <c r="I30" s="31"/>
    </row>
    <row r="31" spans="1:9" ht="12.75">
      <c r="A31" s="39"/>
      <c r="B31" s="66"/>
      <c r="C31" s="43"/>
      <c r="D31" s="31"/>
      <c r="E31" s="30"/>
      <c r="F31" s="30"/>
      <c r="G31" s="66"/>
      <c r="H31" s="43"/>
      <c r="I31" s="31"/>
    </row>
    <row r="32" spans="1:9" ht="12.75">
      <c r="A32" s="39" t="s">
        <v>463</v>
      </c>
      <c r="B32" s="66"/>
      <c r="C32" s="43">
        <v>51945</v>
      </c>
      <c r="D32" s="31"/>
      <c r="E32" s="30"/>
      <c r="F32" s="30"/>
      <c r="G32" s="66"/>
      <c r="H32" s="43"/>
      <c r="I32" s="31"/>
    </row>
    <row r="33" spans="1:9" ht="12.75">
      <c r="A33" s="39"/>
      <c r="B33" s="66"/>
      <c r="C33" s="43"/>
      <c r="D33" s="31"/>
      <c r="E33" s="30"/>
      <c r="F33" s="30"/>
      <c r="G33" s="66"/>
      <c r="H33" s="43"/>
      <c r="I33" s="31"/>
    </row>
    <row r="34" spans="1:9" ht="12.75">
      <c r="A34" s="39" t="s">
        <v>718</v>
      </c>
      <c r="B34" s="66"/>
      <c r="C34" s="43"/>
      <c r="D34" s="31"/>
      <c r="E34" s="30"/>
      <c r="F34" s="30"/>
      <c r="G34" s="66"/>
      <c r="H34" s="43"/>
      <c r="I34" s="31"/>
    </row>
    <row r="35" spans="1:9" ht="12.75">
      <c r="A35" s="39" t="s">
        <v>719</v>
      </c>
      <c r="B35" s="66"/>
      <c r="C35" s="43"/>
      <c r="D35" s="31"/>
      <c r="E35" s="30"/>
      <c r="F35" s="30"/>
      <c r="G35" s="66"/>
      <c r="H35" s="43"/>
      <c r="I35" s="31"/>
    </row>
    <row r="36" spans="1:9" ht="12.75">
      <c r="A36" s="39"/>
      <c r="B36" s="66"/>
      <c r="C36" s="43"/>
      <c r="D36" s="31"/>
      <c r="E36" s="30"/>
      <c r="F36" s="30"/>
      <c r="G36" s="66"/>
      <c r="H36" s="43"/>
      <c r="I36" s="31"/>
    </row>
    <row r="37" spans="1:9" ht="12.75">
      <c r="A37" s="41" t="s">
        <v>128</v>
      </c>
      <c r="B37" s="40"/>
      <c r="C37" s="36">
        <f>SUM(C10:C36)</f>
        <v>98409273.00176027</v>
      </c>
      <c r="D37" s="36">
        <f>SUM(D10:D36)</f>
        <v>114962998.47999997</v>
      </c>
      <c r="E37" s="40"/>
      <c r="F37" s="41" t="s">
        <v>128</v>
      </c>
      <c r="G37" s="40"/>
      <c r="H37" s="36" t="e">
        <f>SUM(H10:H36)</f>
        <v>#REF!</v>
      </c>
      <c r="I37" s="36" t="e">
        <f>SUM(I10:I36)</f>
        <v>#REF!</v>
      </c>
    </row>
    <row r="38" spans="3:9" ht="12.75">
      <c r="C38" s="44"/>
      <c r="D38" s="38"/>
      <c r="H38" s="44"/>
      <c r="I38" s="38"/>
    </row>
    <row r="39" spans="3:8" ht="12.75">
      <c r="C39" s="38" t="e">
        <f>H37-C37</f>
        <v>#REF!</v>
      </c>
      <c r="D39" s="38" t="e">
        <f>I37-D37</f>
        <v>#REF!</v>
      </c>
      <c r="H39" s="44"/>
    </row>
    <row r="41" spans="1:8" ht="12.75">
      <c r="A41" s="68" t="s">
        <v>658</v>
      </c>
      <c r="B41" s="68"/>
      <c r="C41" s="68"/>
      <c r="D41" s="68"/>
      <c r="E41" s="68"/>
      <c r="F41" s="68"/>
      <c r="G41" s="68"/>
      <c r="H41" s="68"/>
    </row>
    <row r="42" spans="1:8" ht="12.75">
      <c r="A42" s="68"/>
      <c r="B42" s="68"/>
      <c r="C42" s="68"/>
      <c r="D42" s="68"/>
      <c r="E42" s="68"/>
      <c r="F42" s="68"/>
      <c r="G42" s="68"/>
      <c r="H42" s="68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8" ht="12.75">
      <c r="A44" s="68" t="s">
        <v>659</v>
      </c>
      <c r="B44" s="68"/>
      <c r="C44" s="68"/>
      <c r="D44" s="68"/>
      <c r="F44" s="68" t="s">
        <v>660</v>
      </c>
      <c r="G44" s="68"/>
      <c r="H44" s="68"/>
    </row>
    <row r="45" spans="1:8" ht="12.75">
      <c r="A45" s="68" t="s">
        <v>666</v>
      </c>
      <c r="B45" s="68"/>
      <c r="C45" s="68"/>
      <c r="D45" s="68"/>
      <c r="E45" s="68"/>
      <c r="F45" s="68"/>
      <c r="G45" s="68"/>
      <c r="H45" s="68"/>
    </row>
    <row r="46" spans="1:8" ht="12.75">
      <c r="A46" s="68"/>
      <c r="B46" s="68"/>
      <c r="C46" s="68"/>
      <c r="D46" s="68"/>
      <c r="E46" s="68"/>
      <c r="G46" s="68"/>
      <c r="H46" s="68"/>
    </row>
    <row r="47" spans="1:8" ht="12.75">
      <c r="A47" s="68"/>
      <c r="B47" s="68"/>
      <c r="C47" s="68"/>
      <c r="D47" s="68"/>
      <c r="E47" s="68"/>
      <c r="G47" s="68"/>
      <c r="H47" s="68"/>
    </row>
    <row r="48" spans="1:8" ht="12.75">
      <c r="A48" s="68"/>
      <c r="B48" s="68"/>
      <c r="C48" s="68"/>
      <c r="D48" s="68"/>
      <c r="E48" s="68"/>
      <c r="F48" s="68"/>
      <c r="G48" s="68"/>
      <c r="H48" s="68"/>
    </row>
    <row r="49" spans="1:8" ht="12.75">
      <c r="A49" s="69" t="s">
        <v>661</v>
      </c>
      <c r="B49" s="68"/>
      <c r="C49" s="68"/>
      <c r="D49" s="68"/>
      <c r="E49" s="68"/>
      <c r="F49" s="71" t="s">
        <v>667</v>
      </c>
      <c r="G49" s="68"/>
      <c r="H49" s="68" t="s">
        <v>665</v>
      </c>
    </row>
    <row r="50" spans="1:9" ht="12.75">
      <c r="A50" s="69" t="s">
        <v>662</v>
      </c>
      <c r="B50" s="68"/>
      <c r="C50" s="68"/>
      <c r="D50" s="68"/>
      <c r="E50" s="68"/>
      <c r="G50" s="70" t="s">
        <v>669</v>
      </c>
      <c r="H50" s="162" t="s">
        <v>668</v>
      </c>
      <c r="I50" s="162"/>
    </row>
    <row r="51" spans="1:8" ht="12.75">
      <c r="A51" s="68"/>
      <c r="B51" s="68"/>
      <c r="C51" s="68"/>
      <c r="D51" s="68"/>
      <c r="E51" s="68"/>
      <c r="F51" s="68"/>
      <c r="G51" s="68"/>
      <c r="H51" s="68"/>
    </row>
    <row r="52" spans="1:8" ht="12.75">
      <c r="A52" s="68" t="s">
        <v>663</v>
      </c>
      <c r="B52" s="68"/>
      <c r="C52" s="68"/>
      <c r="D52" s="68"/>
      <c r="E52" s="68"/>
      <c r="F52" s="68"/>
      <c r="G52" s="68"/>
      <c r="H52" s="68"/>
    </row>
    <row r="53" spans="1:8" ht="12.75">
      <c r="A53" s="68" t="s">
        <v>664</v>
      </c>
      <c r="B53" s="68"/>
      <c r="C53" s="68"/>
      <c r="D53" s="68"/>
      <c r="E53" s="68"/>
      <c r="F53" s="68"/>
      <c r="G53" s="68"/>
      <c r="H53" s="68"/>
    </row>
  </sheetData>
  <sheetProtection password="DDD9" sheet="1" objects="1" scenarios="1"/>
  <mergeCells count="4">
    <mergeCell ref="A1:I1"/>
    <mergeCell ref="A2:I2"/>
    <mergeCell ref="A4:I4"/>
    <mergeCell ref="H50:I50"/>
  </mergeCells>
  <printOptions/>
  <pageMargins left="0.43" right="0.25" top="1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" sqref="A2:I2"/>
    </sheetView>
  </sheetViews>
  <sheetFormatPr defaultColWidth="9.140625" defaultRowHeight="12.75"/>
  <cols>
    <col min="1" max="1" width="24.8515625" style="37" customWidth="1"/>
    <col min="2" max="2" width="2.7109375" style="37" customWidth="1"/>
    <col min="3" max="4" width="12.57421875" style="37" customWidth="1"/>
    <col min="5" max="5" width="2.57421875" style="37" customWidth="1"/>
    <col min="6" max="6" width="21.140625" style="37" customWidth="1"/>
    <col min="7" max="7" width="2.7109375" style="37" customWidth="1"/>
    <col min="8" max="9" width="12.57421875" style="37" customWidth="1"/>
    <col min="10" max="16384" width="9.140625" style="37" customWidth="1"/>
  </cols>
  <sheetData>
    <row r="1" spans="1:9" ht="18">
      <c r="A1" s="153" t="s">
        <v>738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4" t="s">
        <v>129</v>
      </c>
      <c r="B2" s="154"/>
      <c r="C2" s="154"/>
      <c r="D2" s="154"/>
      <c r="E2" s="154"/>
      <c r="F2" s="154"/>
      <c r="G2" s="154"/>
      <c r="H2" s="154"/>
      <c r="I2" s="154"/>
    </row>
    <row r="3" ht="12.75">
      <c r="A3" s="15"/>
    </row>
    <row r="4" spans="1:9" ht="12.75">
      <c r="A4" s="161" t="s">
        <v>135</v>
      </c>
      <c r="B4" s="161"/>
      <c r="C4" s="161"/>
      <c r="D4" s="161"/>
      <c r="E4" s="161"/>
      <c r="F4" s="161"/>
      <c r="G4" s="161"/>
      <c r="H4" s="161"/>
      <c r="I4" s="161"/>
    </row>
    <row r="6" ht="13.5" thickBot="1"/>
    <row r="7" spans="1:9" ht="12.75">
      <c r="A7" s="63" t="s">
        <v>137</v>
      </c>
      <c r="B7" s="60"/>
      <c r="C7" s="60" t="s">
        <v>3</v>
      </c>
      <c r="D7" s="60" t="s">
        <v>3</v>
      </c>
      <c r="E7" s="60"/>
      <c r="F7" s="60" t="s">
        <v>138</v>
      </c>
      <c r="G7" s="60"/>
      <c r="H7" s="60" t="s">
        <v>3</v>
      </c>
      <c r="I7" s="60" t="s">
        <v>3</v>
      </c>
    </row>
    <row r="8" spans="1:9" ht="13.5" thickBot="1">
      <c r="A8" s="65"/>
      <c r="B8" s="62"/>
      <c r="C8" s="62" t="s">
        <v>204</v>
      </c>
      <c r="D8" s="62" t="s">
        <v>203</v>
      </c>
      <c r="E8" s="62"/>
      <c r="F8" s="62"/>
      <c r="G8" s="62"/>
      <c r="H8" s="62" t="s">
        <v>204</v>
      </c>
      <c r="I8" s="62" t="s">
        <v>203</v>
      </c>
    </row>
    <row r="9" spans="1:9" ht="12.75">
      <c r="A9" s="39"/>
      <c r="B9" s="30"/>
      <c r="C9" s="30"/>
      <c r="D9" s="30"/>
      <c r="E9" s="30"/>
      <c r="F9" s="30"/>
      <c r="G9" s="67"/>
      <c r="H9" s="30"/>
      <c r="I9" s="30"/>
    </row>
    <row r="10" spans="1:9" ht="12.75">
      <c r="A10" s="39" t="s">
        <v>139</v>
      </c>
      <c r="B10" s="66"/>
      <c r="C10" s="43">
        <f>'RUF WORK FOR TRADING'!G12</f>
        <v>1971194</v>
      </c>
      <c r="D10" s="31">
        <v>2692796.4</v>
      </c>
      <c r="E10" s="30"/>
      <c r="F10" s="30" t="s">
        <v>154</v>
      </c>
      <c r="G10" s="66"/>
      <c r="H10" s="43">
        <f>'RUF WORK FOR TRADING'!G34-'RUF WORK FOR TRADING'!G37</f>
        <v>4839222</v>
      </c>
      <c r="I10" s="31">
        <v>4751270.38</v>
      </c>
    </row>
    <row r="11" spans="1:9" ht="12.75">
      <c r="A11" s="39"/>
      <c r="B11" s="66"/>
      <c r="C11" s="43"/>
      <c r="D11" s="31"/>
      <c r="E11" s="30"/>
      <c r="F11" s="30"/>
      <c r="G11" s="66"/>
      <c r="H11" s="43"/>
      <c r="I11" s="31"/>
    </row>
    <row r="12" spans="1:9" ht="12.75">
      <c r="A12" s="39" t="s">
        <v>140</v>
      </c>
      <c r="B12" s="66"/>
      <c r="C12" s="43">
        <f>'RUF WORK FOR TRADING'!G30</f>
        <v>3443426</v>
      </c>
      <c r="D12" s="31">
        <v>2757080.87</v>
      </c>
      <c r="E12" s="30"/>
      <c r="F12" s="30" t="s">
        <v>155</v>
      </c>
      <c r="G12" s="66" t="s">
        <v>158</v>
      </c>
      <c r="H12" s="43">
        <f>Annexure!C410</f>
        <v>98965665</v>
      </c>
      <c r="I12" s="31">
        <f>Annexure!D410</f>
        <v>82894183.72</v>
      </c>
    </row>
    <row r="13" spans="1:9" ht="12.75">
      <c r="A13" s="39"/>
      <c r="B13" s="66"/>
      <c r="C13" s="43"/>
      <c r="D13" s="31"/>
      <c r="E13" s="30"/>
      <c r="F13" s="30"/>
      <c r="G13" s="66"/>
      <c r="H13" s="43"/>
      <c r="I13" s="31"/>
    </row>
    <row r="14" spans="1:9" ht="12.75">
      <c r="A14" s="39" t="s">
        <v>141</v>
      </c>
      <c r="B14" s="66" t="s">
        <v>149</v>
      </c>
      <c r="C14" s="43">
        <f>Annexure!C378</f>
        <v>24954631</v>
      </c>
      <c r="D14" s="31">
        <f>Annexure!D378</f>
        <v>19193604.669999998</v>
      </c>
      <c r="E14" s="30"/>
      <c r="F14" s="30" t="s">
        <v>106</v>
      </c>
      <c r="G14" s="66"/>
      <c r="H14" s="43">
        <f>'RUF WORK FOR P &amp; L'!G323</f>
        <v>1370906</v>
      </c>
      <c r="I14" s="31">
        <v>1145354.41</v>
      </c>
    </row>
    <row r="15" spans="1:9" ht="12.75">
      <c r="A15" s="39"/>
      <c r="B15" s="66"/>
      <c r="C15" s="43"/>
      <c r="D15" s="31"/>
      <c r="E15" s="30"/>
      <c r="F15" s="30"/>
      <c r="G15" s="66"/>
      <c r="H15" s="43"/>
      <c r="I15" s="31"/>
    </row>
    <row r="16" spans="1:9" ht="12.75">
      <c r="A16" s="39" t="s">
        <v>152</v>
      </c>
      <c r="B16" s="66" t="s">
        <v>150</v>
      </c>
      <c r="C16" s="43" t="e">
        <f>Annexure!#REF!</f>
        <v>#REF!</v>
      </c>
      <c r="D16" s="31" t="e">
        <f>Annexure!#REF!</f>
        <v>#REF!</v>
      </c>
      <c r="E16" s="30"/>
      <c r="F16" s="30" t="s">
        <v>156</v>
      </c>
      <c r="G16" s="66"/>
      <c r="H16" s="43">
        <v>0</v>
      </c>
      <c r="I16" s="31">
        <v>53433</v>
      </c>
    </row>
    <row r="17" spans="1:9" ht="12.75">
      <c r="A17" s="39"/>
      <c r="B17" s="66"/>
      <c r="C17" s="43"/>
      <c r="D17" s="31"/>
      <c r="E17" s="30"/>
      <c r="F17" s="30"/>
      <c r="G17" s="66"/>
      <c r="H17" s="43"/>
      <c r="I17" s="31"/>
    </row>
    <row r="18" spans="1:9" ht="12.75">
      <c r="A18" s="39" t="s">
        <v>142</v>
      </c>
      <c r="B18" s="66" t="s">
        <v>151</v>
      </c>
      <c r="C18" s="43" t="e">
        <f>Annexure!#REF!</f>
        <v>#REF!</v>
      </c>
      <c r="D18" s="31" t="e">
        <f>Annexure!#REF!</f>
        <v>#REF!</v>
      </c>
      <c r="E18" s="30"/>
      <c r="F18" s="30" t="s">
        <v>157</v>
      </c>
      <c r="G18" s="66"/>
      <c r="H18" s="43">
        <f>'RUF WORK FOR P &amp; L'!G326</f>
        <v>289800</v>
      </c>
      <c r="I18" s="31">
        <v>270900</v>
      </c>
    </row>
    <row r="19" spans="1:9" ht="12.75">
      <c r="A19" s="39"/>
      <c r="B19" s="66"/>
      <c r="C19" s="43"/>
      <c r="D19" s="31"/>
      <c r="E19" s="30"/>
      <c r="F19" s="30"/>
      <c r="G19" s="66"/>
      <c r="H19" s="43"/>
      <c r="I19" s="31"/>
    </row>
    <row r="20" spans="1:9" ht="12.75">
      <c r="A20" s="39" t="s">
        <v>143</v>
      </c>
      <c r="B20" s="66" t="s">
        <v>153</v>
      </c>
      <c r="C20" s="74">
        <f>Annexure!C398</f>
        <v>3463416</v>
      </c>
      <c r="D20" s="31">
        <f>Annexure!D398</f>
        <v>3073797.7899999996</v>
      </c>
      <c r="E20" s="30"/>
      <c r="F20" s="30" t="s">
        <v>121</v>
      </c>
      <c r="G20" s="66"/>
      <c r="H20" s="43">
        <f>'RUF WORK FOR TRADING'!G17</f>
        <v>2002524</v>
      </c>
      <c r="I20" s="31">
        <v>1971194</v>
      </c>
    </row>
    <row r="21" spans="1:9" ht="12.75">
      <c r="A21" s="39"/>
      <c r="B21" s="66"/>
      <c r="C21" s="43"/>
      <c r="D21" s="31"/>
      <c r="E21" s="30"/>
      <c r="F21" s="30"/>
      <c r="G21" s="66"/>
      <c r="H21" s="43"/>
      <c r="I21" s="31"/>
    </row>
    <row r="22" spans="1:9" ht="12.75">
      <c r="A22" s="39" t="s">
        <v>144</v>
      </c>
      <c r="B22" s="66"/>
      <c r="C22" s="43">
        <f>'RUF WORK FOR P &amp; L'!G217</f>
        <v>48510</v>
      </c>
      <c r="D22" s="31">
        <v>25000</v>
      </c>
      <c r="E22" s="30"/>
      <c r="F22" s="30"/>
      <c r="G22" s="66"/>
      <c r="H22" s="43"/>
      <c r="I22" s="31"/>
    </row>
    <row r="23" spans="1:9" ht="12.75">
      <c r="A23" s="39"/>
      <c r="B23" s="66"/>
      <c r="C23" s="43"/>
      <c r="D23" s="31"/>
      <c r="E23" s="30"/>
      <c r="F23" s="30"/>
      <c r="G23" s="66"/>
      <c r="H23" s="43"/>
      <c r="I23" s="31"/>
    </row>
    <row r="24" spans="1:9" ht="12.75">
      <c r="A24" s="39" t="s">
        <v>145</v>
      </c>
      <c r="B24" s="66" t="s">
        <v>205</v>
      </c>
      <c r="C24" s="74">
        <f>Annexure!C348</f>
        <v>45692090</v>
      </c>
      <c r="D24" s="31">
        <f>Annexure!D348</f>
        <v>37999094.2</v>
      </c>
      <c r="E24" s="30"/>
      <c r="F24" s="30"/>
      <c r="G24" s="66"/>
      <c r="H24" s="43"/>
      <c r="I24" s="31"/>
    </row>
    <row r="25" spans="1:9" ht="12.75">
      <c r="A25" s="39"/>
      <c r="B25" s="66"/>
      <c r="C25" s="43"/>
      <c r="D25" s="31"/>
      <c r="E25" s="30"/>
      <c r="F25" s="30"/>
      <c r="G25" s="66"/>
      <c r="H25" s="43"/>
      <c r="I25" s="31"/>
    </row>
    <row r="26" spans="1:9" ht="12.75">
      <c r="A26" s="39" t="s">
        <v>146</v>
      </c>
      <c r="B26" s="66" t="s">
        <v>132</v>
      </c>
      <c r="C26" s="74">
        <f>'FINAL FIXED ASSETS'!I85-0.29</f>
        <v>14636619.998239728</v>
      </c>
      <c r="D26" s="31">
        <v>11719982.87</v>
      </c>
      <c r="E26" s="30"/>
      <c r="F26" s="30"/>
      <c r="G26" s="66"/>
      <c r="H26" s="43"/>
      <c r="I26" s="31"/>
    </row>
    <row r="27" spans="1:9" ht="12.75">
      <c r="A27" s="39"/>
      <c r="B27" s="66"/>
      <c r="C27" s="43"/>
      <c r="D27" s="31"/>
      <c r="E27" s="30"/>
      <c r="F27" s="30"/>
      <c r="G27" s="66"/>
      <c r="H27" s="43"/>
      <c r="I27" s="31"/>
    </row>
    <row r="28" spans="1:9" ht="12.75">
      <c r="A28" s="42" t="s">
        <v>147</v>
      </c>
      <c r="B28" s="66"/>
      <c r="C28" s="35" t="e">
        <f>C33-SUM(C10:C26)</f>
        <v>#REF!</v>
      </c>
      <c r="D28" s="35" t="e">
        <f>D33-SUM(D10:D26)</f>
        <v>#REF!</v>
      </c>
      <c r="E28" s="30"/>
      <c r="F28" s="30"/>
      <c r="G28" s="66"/>
      <c r="H28" s="43"/>
      <c r="I28" s="31"/>
    </row>
    <row r="29" spans="1:9" ht="12.75">
      <c r="A29" s="42" t="s">
        <v>148</v>
      </c>
      <c r="B29" s="66"/>
      <c r="C29" s="43"/>
      <c r="D29" s="31"/>
      <c r="E29" s="30"/>
      <c r="F29" s="30"/>
      <c r="G29" s="66"/>
      <c r="H29" s="43"/>
      <c r="I29" s="31"/>
    </row>
    <row r="30" spans="1:9" ht="12.75">
      <c r="A30" s="39"/>
      <c r="B30" s="66"/>
      <c r="C30" s="43"/>
      <c r="D30" s="31"/>
      <c r="E30" s="30"/>
      <c r="F30" s="30"/>
      <c r="G30" s="66"/>
      <c r="H30" s="43"/>
      <c r="I30" s="31"/>
    </row>
    <row r="31" spans="1:9" ht="12.75">
      <c r="A31" s="39"/>
      <c r="B31" s="66"/>
      <c r="C31" s="43"/>
      <c r="D31" s="31"/>
      <c r="E31" s="30"/>
      <c r="F31" s="30"/>
      <c r="G31" s="66"/>
      <c r="H31" s="43"/>
      <c r="I31" s="31"/>
    </row>
    <row r="32" spans="1:9" ht="12.75">
      <c r="A32" s="39"/>
      <c r="B32" s="66"/>
      <c r="C32" s="43"/>
      <c r="D32" s="31"/>
      <c r="E32" s="30"/>
      <c r="F32" s="30"/>
      <c r="G32" s="66"/>
      <c r="H32" s="43"/>
      <c r="I32" s="31"/>
    </row>
    <row r="33" spans="1:9" ht="12.75">
      <c r="A33" s="41" t="s">
        <v>128</v>
      </c>
      <c r="B33" s="40"/>
      <c r="C33" s="36">
        <f>H33</f>
        <v>107468117</v>
      </c>
      <c r="D33" s="36">
        <f>I33</f>
        <v>91086335.50999999</v>
      </c>
      <c r="E33" s="40"/>
      <c r="F33" s="41" t="s">
        <v>128</v>
      </c>
      <c r="G33" s="40"/>
      <c r="H33" s="36">
        <f>SUM(H10:H28)</f>
        <v>107468117</v>
      </c>
      <c r="I33" s="36">
        <f>SUM(I10:I28)</f>
        <v>91086335.50999999</v>
      </c>
    </row>
    <row r="34" spans="4:9" ht="12.75">
      <c r="D34" s="38"/>
      <c r="I34" s="38"/>
    </row>
    <row r="35" spans="3:4" ht="12.75">
      <c r="C35" s="38"/>
      <c r="D35" s="38"/>
    </row>
    <row r="36" spans="1:8" ht="12.75">
      <c r="A36" s="68" t="s">
        <v>658</v>
      </c>
      <c r="B36" s="68"/>
      <c r="C36" s="68"/>
      <c r="D36" s="68"/>
      <c r="E36" s="68"/>
      <c r="F36" s="68"/>
      <c r="G36" s="68"/>
      <c r="H36" s="68"/>
    </row>
    <row r="37" spans="1:8" ht="12.75">
      <c r="A37" s="68"/>
      <c r="B37" s="68"/>
      <c r="C37" s="68"/>
      <c r="D37" s="68"/>
      <c r="E37" s="68"/>
      <c r="F37" s="68"/>
      <c r="G37" s="68"/>
      <c r="H37" s="68"/>
    </row>
    <row r="38" spans="1:8" ht="12.75">
      <c r="A38" s="68"/>
      <c r="B38" s="68"/>
      <c r="C38" s="68"/>
      <c r="D38" s="68"/>
      <c r="E38" s="68"/>
      <c r="F38" s="68"/>
      <c r="G38" s="68"/>
      <c r="H38" s="68"/>
    </row>
    <row r="39" spans="1:8" ht="12.75">
      <c r="A39" s="68" t="s">
        <v>659</v>
      </c>
      <c r="B39" s="68"/>
      <c r="C39" s="68"/>
      <c r="D39" s="68"/>
      <c r="F39" s="68" t="s">
        <v>660</v>
      </c>
      <c r="G39" s="68"/>
      <c r="H39" s="68"/>
    </row>
    <row r="40" spans="1:8" ht="12.75">
      <c r="A40" s="68" t="s">
        <v>666</v>
      </c>
      <c r="B40" s="68"/>
      <c r="C40" s="68"/>
      <c r="D40" s="68"/>
      <c r="E40" s="68"/>
      <c r="F40" s="68"/>
      <c r="G40" s="68"/>
      <c r="H40" s="68"/>
    </row>
    <row r="41" spans="1:8" ht="12.75">
      <c r="A41" s="68"/>
      <c r="B41" s="68"/>
      <c r="C41" s="68"/>
      <c r="D41" s="68"/>
      <c r="E41" s="68"/>
      <c r="G41" s="68"/>
      <c r="H41" s="68"/>
    </row>
    <row r="42" spans="1:8" ht="12.75">
      <c r="A42" s="68"/>
      <c r="B42" s="68"/>
      <c r="C42" s="68"/>
      <c r="D42" s="68"/>
      <c r="E42" s="68"/>
      <c r="G42" s="68"/>
      <c r="H42" s="68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8" ht="12.75">
      <c r="A44" s="69" t="s">
        <v>661</v>
      </c>
      <c r="B44" s="68"/>
      <c r="C44" s="68"/>
      <c r="D44" s="68"/>
      <c r="E44" s="68"/>
      <c r="F44" s="71" t="s">
        <v>667</v>
      </c>
      <c r="G44" s="68"/>
      <c r="H44" s="68" t="s">
        <v>665</v>
      </c>
    </row>
    <row r="45" spans="1:9" ht="12.75">
      <c r="A45" s="69" t="s">
        <v>662</v>
      </c>
      <c r="B45" s="68"/>
      <c r="C45" s="68"/>
      <c r="D45" s="68"/>
      <c r="E45" s="68"/>
      <c r="F45" s="70" t="s">
        <v>669</v>
      </c>
      <c r="G45" s="68"/>
      <c r="H45" s="162" t="s">
        <v>668</v>
      </c>
      <c r="I45" s="162"/>
    </row>
    <row r="46" spans="1:8" ht="12.75">
      <c r="A46" s="68"/>
      <c r="B46" s="68"/>
      <c r="C46" s="68"/>
      <c r="D46" s="68"/>
      <c r="E46" s="68"/>
      <c r="F46" s="68"/>
      <c r="G46" s="68"/>
      <c r="H46" s="68"/>
    </row>
    <row r="47" spans="1:8" ht="12.75">
      <c r="A47" s="68" t="s">
        <v>663</v>
      </c>
      <c r="B47" s="68"/>
      <c r="C47" s="68"/>
      <c r="D47" s="68"/>
      <c r="E47" s="68"/>
      <c r="F47" s="68"/>
      <c r="G47" s="68"/>
      <c r="H47" s="68"/>
    </row>
    <row r="48" spans="1:8" ht="12.75">
      <c r="A48" s="68" t="s">
        <v>664</v>
      </c>
      <c r="B48" s="68"/>
      <c r="C48" s="68"/>
      <c r="D48" s="68"/>
      <c r="E48" s="68"/>
      <c r="F48" s="68"/>
      <c r="G48" s="68"/>
      <c r="H48" s="68"/>
    </row>
  </sheetData>
  <sheetProtection password="DDD9" sheet="1" objects="1" scenarios="1"/>
  <mergeCells count="4">
    <mergeCell ref="A1:I1"/>
    <mergeCell ref="A2:I2"/>
    <mergeCell ref="A4:I4"/>
    <mergeCell ref="H45:I45"/>
  </mergeCells>
  <printOptions/>
  <pageMargins left="0.5" right="0.25" top="1" bottom="1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iiim</cp:lastModifiedBy>
  <cp:lastPrinted>2005-10-29T09:51:08Z</cp:lastPrinted>
  <dcterms:created xsi:type="dcterms:W3CDTF">2005-09-26T04:24:22Z</dcterms:created>
  <dcterms:modified xsi:type="dcterms:W3CDTF">2006-05-09T04:19:59Z</dcterms:modified>
  <cp:category/>
  <cp:version/>
  <cp:contentType/>
  <cp:contentStatus/>
</cp:coreProperties>
</file>